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ulipi\Documents\SUZANA\sjednice Upravno vijeće\2019\materijali\17. sjednica UV - 12.12.2019\02_Plan rada NSK za 2020. godinu\"/>
    </mc:Choice>
  </mc:AlternateContent>
  <xr:revisionPtr revIDLastSave="0" documentId="8_{0D88BAAE-B504-45B8-858F-1020FCCE353E}" xr6:coauthVersionLast="37" xr6:coauthVersionMax="37" xr10:uidLastSave="{00000000-0000-0000-0000-000000000000}"/>
  <workbookProtection workbookPassword="DE31" lockStructure="1"/>
  <bookViews>
    <workbookView xWindow="0" yWindow="0" windowWidth="21570" windowHeight="7980" firstSheet="2" activeTab="2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IZDATAKA'!$A$70:$T$85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I9" i="4" l="1"/>
  <c r="H9" i="4"/>
  <c r="K109" i="17"/>
  <c r="J109" i="17"/>
  <c r="I109" i="17"/>
  <c r="K106" i="17"/>
  <c r="J106" i="17"/>
  <c r="K36" i="17"/>
  <c r="J36" i="17"/>
  <c r="I36" i="17"/>
  <c r="K41" i="17"/>
  <c r="K40" i="17"/>
  <c r="J41" i="17"/>
  <c r="J40" i="17"/>
  <c r="I41" i="17"/>
  <c r="I40" i="17"/>
  <c r="K6" i="17"/>
  <c r="K7" i="17"/>
  <c r="J7" i="17"/>
  <c r="I7" i="17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 l="1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A4" i="17" l="1"/>
  <c r="B4" i="17"/>
  <c r="A5" i="17"/>
  <c r="B5" i="17"/>
  <c r="A6" i="17"/>
  <c r="B6" i="17"/>
  <c r="A7" i="17"/>
  <c r="B7" i="17"/>
  <c r="A8" i="17"/>
  <c r="B8" i="17"/>
  <c r="A9" i="17"/>
  <c r="B9" i="17"/>
  <c r="A10" i="17"/>
  <c r="B10" i="17"/>
  <c r="A11" i="17"/>
  <c r="B11" i="17"/>
  <c r="A12" i="17"/>
  <c r="B12" i="17"/>
  <c r="A13" i="17"/>
  <c r="B13" i="17"/>
  <c r="A14" i="17"/>
  <c r="B14" i="17"/>
  <c r="A15" i="17"/>
  <c r="B15" i="17"/>
  <c r="A16" i="17"/>
  <c r="B16" i="17"/>
  <c r="A17" i="17"/>
  <c r="B17" i="17"/>
  <c r="A18" i="17"/>
  <c r="B18" i="17"/>
  <c r="A19" i="17"/>
  <c r="B19" i="17"/>
  <c r="A20" i="17"/>
  <c r="B20" i="17"/>
  <c r="A21" i="17"/>
  <c r="B21" i="17"/>
  <c r="A22" i="17"/>
  <c r="B22" i="17"/>
  <c r="A23" i="17"/>
  <c r="B23" i="17"/>
  <c r="A24" i="17"/>
  <c r="B24" i="17"/>
  <c r="A25" i="17"/>
  <c r="B25" i="17"/>
  <c r="A26" i="17"/>
  <c r="B26" i="17"/>
  <c r="A27" i="17"/>
  <c r="B27" i="17"/>
  <c r="A28" i="17"/>
  <c r="B28" i="17"/>
  <c r="A29" i="17"/>
  <c r="B29" i="17"/>
  <c r="A30" i="17"/>
  <c r="B30" i="17"/>
  <c r="A31" i="17"/>
  <c r="B31" i="17"/>
  <c r="A32" i="17"/>
  <c r="B32" i="17"/>
  <c r="A33" i="17"/>
  <c r="B33" i="17"/>
  <c r="A34" i="17"/>
  <c r="B34" i="17"/>
  <c r="A35" i="17"/>
  <c r="B35" i="17"/>
  <c r="A36" i="17"/>
  <c r="B36" i="17"/>
  <c r="A37" i="17"/>
  <c r="B37" i="17"/>
  <c r="A38" i="17"/>
  <c r="B38" i="17"/>
  <c r="A39" i="17"/>
  <c r="B39" i="17"/>
  <c r="A40" i="17"/>
  <c r="B40" i="17"/>
  <c r="A41" i="17"/>
  <c r="B41" i="17"/>
  <c r="A42" i="17"/>
  <c r="B42" i="17"/>
  <c r="A43" i="17"/>
  <c r="B43" i="17"/>
  <c r="A44" i="17"/>
  <c r="B44" i="17"/>
  <c r="A45" i="17"/>
  <c r="B45" i="17"/>
  <c r="A46" i="17"/>
  <c r="B46" i="17"/>
  <c r="A47" i="17"/>
  <c r="B47" i="17"/>
  <c r="A48" i="17"/>
  <c r="B48" i="17"/>
  <c r="A49" i="17"/>
  <c r="B49" i="17"/>
  <c r="A50" i="17"/>
  <c r="B50" i="17"/>
  <c r="A51" i="17"/>
  <c r="B51" i="17"/>
  <c r="A52" i="17"/>
  <c r="B52" i="17"/>
  <c r="A53" i="17"/>
  <c r="B53" i="17"/>
  <c r="A54" i="17"/>
  <c r="B54" i="17"/>
  <c r="A55" i="17"/>
  <c r="B55" i="17"/>
  <c r="A56" i="17"/>
  <c r="B56" i="17"/>
  <c r="A57" i="17"/>
  <c r="B57" i="17"/>
  <c r="A58" i="17"/>
  <c r="B58" i="17"/>
  <c r="A59" i="17"/>
  <c r="B59" i="17"/>
  <c r="A60" i="17"/>
  <c r="B60" i="17"/>
  <c r="A61" i="17"/>
  <c r="B61" i="17"/>
  <c r="A62" i="17"/>
  <c r="B62" i="17"/>
  <c r="A63" i="17"/>
  <c r="B63" i="17"/>
  <c r="A64" i="17"/>
  <c r="B64" i="17"/>
  <c r="A65" i="17"/>
  <c r="B65" i="17"/>
  <c r="A66" i="17"/>
  <c r="B66" i="17"/>
  <c r="A67" i="17"/>
  <c r="B67" i="17"/>
  <c r="A68" i="17"/>
  <c r="B68" i="17"/>
  <c r="A69" i="17"/>
  <c r="B69" i="17"/>
  <c r="A70" i="17"/>
  <c r="B70" i="17"/>
  <c r="A71" i="17"/>
  <c r="B71" i="17"/>
  <c r="A72" i="17"/>
  <c r="B72" i="17"/>
  <c r="A73" i="17"/>
  <c r="B73" i="17"/>
  <c r="A74" i="17"/>
  <c r="B74" i="17"/>
  <c r="A75" i="17"/>
  <c r="B75" i="17"/>
  <c r="A76" i="17"/>
  <c r="B76" i="17"/>
  <c r="A77" i="17"/>
  <c r="B77" i="17"/>
  <c r="A78" i="17"/>
  <c r="B78" i="17"/>
  <c r="A79" i="17"/>
  <c r="B79" i="17"/>
  <c r="A80" i="17"/>
  <c r="B80" i="17"/>
  <c r="A81" i="17"/>
  <c r="B81" i="17"/>
  <c r="A82" i="17"/>
  <c r="B82" i="17"/>
  <c r="A83" i="17"/>
  <c r="B83" i="17"/>
  <c r="A84" i="17"/>
  <c r="B84" i="17"/>
  <c r="A85" i="17"/>
  <c r="B85" i="17"/>
  <c r="A86" i="17"/>
  <c r="B86" i="17"/>
  <c r="A87" i="17"/>
  <c r="B87" i="17"/>
  <c r="A88" i="17"/>
  <c r="B88" i="17"/>
  <c r="A89" i="17"/>
  <c r="B89" i="17"/>
  <c r="A90" i="17"/>
  <c r="B90" i="17"/>
  <c r="A91" i="17"/>
  <c r="B91" i="17"/>
  <c r="A92" i="17"/>
  <c r="B92" i="17"/>
  <c r="A93" i="17"/>
  <c r="B93" i="17"/>
  <c r="A94" i="17"/>
  <c r="B94" i="17"/>
  <c r="A95" i="17"/>
  <c r="B95" i="17"/>
  <c r="A96" i="17"/>
  <c r="B96" i="17"/>
  <c r="A97" i="17"/>
  <c r="B97" i="17"/>
  <c r="A98" i="17"/>
  <c r="B98" i="17"/>
  <c r="A99" i="17"/>
  <c r="B99" i="17"/>
  <c r="A100" i="17"/>
  <c r="B100" i="17"/>
  <c r="A101" i="17"/>
  <c r="B101" i="17"/>
  <c r="A102" i="17"/>
  <c r="B102" i="17"/>
  <c r="A103" i="17"/>
  <c r="B103" i="17"/>
  <c r="A104" i="17"/>
  <c r="B104" i="17"/>
  <c r="A105" i="17"/>
  <c r="B105" i="17"/>
  <c r="A106" i="17"/>
  <c r="B106" i="17"/>
  <c r="A107" i="17"/>
  <c r="B107" i="17"/>
  <c r="A108" i="17"/>
  <c r="B108" i="17"/>
  <c r="A109" i="17"/>
  <c r="B109" i="17"/>
  <c r="A110" i="17"/>
  <c r="B110" i="17"/>
  <c r="A111" i="17"/>
  <c r="B111" i="17"/>
  <c r="A112" i="17"/>
  <c r="B112" i="17"/>
  <c r="A113" i="17"/>
  <c r="B113" i="17"/>
  <c r="A114" i="17"/>
  <c r="B114" i="17"/>
  <c r="A115" i="17"/>
  <c r="B115" i="17"/>
  <c r="A116" i="17"/>
  <c r="B116" i="17"/>
  <c r="A117" i="17"/>
  <c r="B117" i="17"/>
  <c r="A118" i="17"/>
  <c r="B118" i="17"/>
  <c r="A119" i="17"/>
  <c r="B119" i="17"/>
  <c r="A120" i="17"/>
  <c r="B120" i="17"/>
  <c r="A121" i="17"/>
  <c r="B121" i="17"/>
  <c r="A122" i="17"/>
  <c r="B122" i="17"/>
  <c r="A123" i="17"/>
  <c r="B123" i="17"/>
  <c r="A124" i="17"/>
  <c r="B124" i="17"/>
  <c r="A125" i="17"/>
  <c r="B125" i="17"/>
  <c r="A126" i="17"/>
  <c r="B126" i="17"/>
  <c r="A127" i="17"/>
  <c r="B127" i="17"/>
  <c r="A128" i="17"/>
  <c r="B128" i="17"/>
  <c r="A129" i="17"/>
  <c r="B129" i="17"/>
  <c r="A130" i="17"/>
  <c r="B130" i="17"/>
  <c r="A131" i="17"/>
  <c r="B131" i="17"/>
  <c r="A132" i="17"/>
  <c r="B132" i="17"/>
  <c r="A133" i="17"/>
  <c r="B133" i="17"/>
  <c r="A134" i="17"/>
  <c r="B134" i="17"/>
  <c r="A135" i="17"/>
  <c r="B135" i="17"/>
  <c r="A136" i="17"/>
  <c r="B136" i="17"/>
  <c r="A137" i="17"/>
  <c r="B137" i="17"/>
  <c r="A138" i="17"/>
  <c r="B138" i="17"/>
  <c r="A139" i="17"/>
  <c r="B139" i="17"/>
  <c r="A140" i="17"/>
  <c r="B140" i="17"/>
  <c r="A141" i="17"/>
  <c r="B141" i="17"/>
  <c r="A142" i="17"/>
  <c r="B142" i="17"/>
  <c r="A143" i="17"/>
  <c r="B143" i="17"/>
  <c r="A144" i="17"/>
  <c r="B144" i="17"/>
  <c r="A145" i="17"/>
  <c r="B145" i="17"/>
  <c r="A146" i="17"/>
  <c r="B146" i="17"/>
  <c r="A147" i="17"/>
  <c r="B147" i="17"/>
  <c r="A148" i="17"/>
  <c r="B148" i="17"/>
  <c r="A149" i="17"/>
  <c r="B149" i="17"/>
  <c r="A150" i="17"/>
  <c r="B150" i="17"/>
  <c r="A151" i="17"/>
  <c r="B151" i="17"/>
  <c r="A152" i="17"/>
  <c r="B152" i="17"/>
  <c r="A153" i="17"/>
  <c r="B153" i="17"/>
  <c r="A154" i="17"/>
  <c r="B154" i="17"/>
  <c r="A155" i="17"/>
  <c r="B155" i="17"/>
  <c r="A156" i="17"/>
  <c r="B156" i="17"/>
  <c r="A157" i="17"/>
  <c r="B157" i="17"/>
  <c r="A158" i="17"/>
  <c r="B158" i="17"/>
  <c r="A159" i="17"/>
  <c r="B159" i="17"/>
  <c r="A160" i="17"/>
  <c r="B160" i="17"/>
  <c r="A161" i="17"/>
  <c r="B161" i="17"/>
  <c r="A162" i="17"/>
  <c r="B162" i="17"/>
  <c r="A163" i="17"/>
  <c r="B163" i="17"/>
  <c r="A164" i="17"/>
  <c r="B164" i="17"/>
  <c r="A165" i="17"/>
  <c r="B165" i="17"/>
  <c r="A166" i="17"/>
  <c r="B166" i="17"/>
  <c r="A167" i="17"/>
  <c r="B167" i="17"/>
  <c r="A168" i="17"/>
  <c r="B168" i="17"/>
  <c r="A169" i="17"/>
  <c r="B169" i="17"/>
  <c r="A170" i="17"/>
  <c r="B170" i="17"/>
  <c r="A171" i="17"/>
  <c r="B171" i="17"/>
  <c r="A172" i="17"/>
  <c r="B172" i="17"/>
  <c r="A173" i="17"/>
  <c r="B173" i="17"/>
  <c r="A174" i="17"/>
  <c r="B174" i="17"/>
  <c r="A175" i="17"/>
  <c r="B175" i="17"/>
  <c r="A176" i="17"/>
  <c r="B176" i="17"/>
  <c r="A177" i="17"/>
  <c r="B177" i="17"/>
  <c r="A178" i="17"/>
  <c r="B178" i="17"/>
  <c r="A179" i="17"/>
  <c r="B179" i="17"/>
  <c r="A180" i="17"/>
  <c r="B180" i="17"/>
  <c r="A181" i="17"/>
  <c r="B181" i="17"/>
  <c r="A182" i="17"/>
  <c r="B182" i="17"/>
  <c r="A183" i="17"/>
  <c r="B183" i="17"/>
  <c r="A184" i="17"/>
  <c r="B184" i="17"/>
  <c r="A185" i="17"/>
  <c r="B185" i="17"/>
  <c r="A186" i="17"/>
  <c r="B186" i="17"/>
  <c r="A187" i="17"/>
  <c r="B187" i="17"/>
  <c r="A188" i="17"/>
  <c r="B188" i="17"/>
  <c r="A189" i="17"/>
  <c r="B189" i="17"/>
  <c r="A190" i="17"/>
  <c r="B190" i="17"/>
  <c r="A191" i="17"/>
  <c r="B191" i="17"/>
  <c r="A192" i="17"/>
  <c r="B192" i="17"/>
  <c r="A193" i="17"/>
  <c r="B193" i="17"/>
  <c r="A194" i="17"/>
  <c r="B194" i="17"/>
  <c r="A195" i="17"/>
  <c r="B195" i="17"/>
  <c r="A196" i="17"/>
  <c r="B196" i="17"/>
  <c r="A197" i="17"/>
  <c r="B197" i="17"/>
  <c r="A198" i="17"/>
  <c r="B198" i="17"/>
  <c r="A199" i="17"/>
  <c r="B199" i="17"/>
  <c r="A200" i="17"/>
  <c r="B200" i="17"/>
  <c r="A201" i="17"/>
  <c r="B201" i="17"/>
  <c r="A202" i="17"/>
  <c r="B202" i="17"/>
  <c r="A203" i="17"/>
  <c r="B203" i="17"/>
  <c r="A204" i="17"/>
  <c r="B204" i="17"/>
  <c r="A205" i="17"/>
  <c r="B205" i="17"/>
  <c r="A206" i="17"/>
  <c r="B206" i="17"/>
  <c r="A207" i="17"/>
  <c r="B207" i="17"/>
  <c r="A208" i="17"/>
  <c r="B208" i="17"/>
  <c r="A209" i="17"/>
  <c r="B209" i="17"/>
  <c r="A210" i="17"/>
  <c r="B210" i="17"/>
  <c r="A211" i="17"/>
  <c r="B211" i="17"/>
  <c r="A212" i="17"/>
  <c r="B212" i="17"/>
  <c r="A213" i="17"/>
  <c r="B213" i="17"/>
  <c r="A214" i="17"/>
  <c r="B214" i="17"/>
  <c r="A215" i="17"/>
  <c r="B215" i="17"/>
  <c r="A216" i="17"/>
  <c r="B216" i="17"/>
  <c r="A217" i="17"/>
  <c r="B217" i="17"/>
  <c r="A218" i="17"/>
  <c r="B218" i="17"/>
  <c r="A219" i="17"/>
  <c r="B219" i="17"/>
  <c r="A220" i="17"/>
  <c r="B220" i="17"/>
  <c r="A221" i="17"/>
  <c r="B221" i="17"/>
  <c r="A222" i="17"/>
  <c r="B222" i="17"/>
  <c r="A223" i="17"/>
  <c r="B223" i="17"/>
  <c r="A224" i="17"/>
  <c r="B224" i="17"/>
  <c r="A225" i="17"/>
  <c r="B225" i="17"/>
  <c r="A226" i="17"/>
  <c r="B226" i="17"/>
  <c r="A227" i="17"/>
  <c r="B227" i="17"/>
  <c r="A228" i="17"/>
  <c r="B228" i="17"/>
  <c r="A229" i="17"/>
  <c r="B229" i="17"/>
  <c r="A230" i="17"/>
  <c r="B230" i="17"/>
  <c r="A231" i="17"/>
  <c r="B231" i="17"/>
  <c r="A232" i="17"/>
  <c r="B232" i="17"/>
  <c r="A233" i="17"/>
  <c r="B233" i="17"/>
  <c r="A234" i="17"/>
  <c r="B234" i="17"/>
  <c r="A235" i="17"/>
  <c r="B235" i="17"/>
  <c r="A236" i="17"/>
  <c r="B236" i="17"/>
  <c r="A237" i="17"/>
  <c r="B237" i="17"/>
  <c r="A238" i="17"/>
  <c r="B238" i="17"/>
  <c r="A239" i="17"/>
  <c r="B239" i="17"/>
  <c r="A240" i="17"/>
  <c r="B240" i="17"/>
  <c r="A241" i="17"/>
  <c r="B241" i="17"/>
  <c r="A242" i="17"/>
  <c r="B242" i="17"/>
  <c r="A243" i="17"/>
  <c r="B243" i="17"/>
  <c r="A244" i="17"/>
  <c r="B244" i="17"/>
  <c r="A245" i="17"/>
  <c r="B245" i="17"/>
  <c r="A246" i="17"/>
  <c r="B246" i="17"/>
  <c r="A247" i="17"/>
  <c r="B247" i="17"/>
  <c r="A248" i="17"/>
  <c r="B248" i="17"/>
  <c r="A249" i="17"/>
  <c r="B249" i="17"/>
  <c r="A250" i="17"/>
  <c r="B250" i="17"/>
  <c r="A251" i="17"/>
  <c r="B251" i="17"/>
  <c r="A252" i="17"/>
  <c r="B252" i="17"/>
  <c r="A253" i="17"/>
  <c r="B253" i="17"/>
  <c r="A254" i="17"/>
  <c r="B254" i="17"/>
  <c r="A255" i="17"/>
  <c r="B255" i="17"/>
  <c r="A256" i="17"/>
  <c r="B256" i="17"/>
  <c r="A257" i="17"/>
  <c r="B257" i="17"/>
  <c r="A258" i="17"/>
  <c r="B258" i="17"/>
  <c r="A259" i="17"/>
  <c r="B259" i="17"/>
  <c r="A260" i="17"/>
  <c r="B260" i="17"/>
  <c r="A261" i="17"/>
  <c r="B261" i="17"/>
  <c r="A262" i="17"/>
  <c r="B262" i="17"/>
  <c r="A263" i="17"/>
  <c r="B263" i="17"/>
  <c r="A264" i="17"/>
  <c r="B264" i="17"/>
  <c r="A265" i="17"/>
  <c r="B265" i="17"/>
  <c r="A266" i="17"/>
  <c r="B266" i="17"/>
  <c r="A267" i="17"/>
  <c r="B267" i="17"/>
  <c r="A268" i="17"/>
  <c r="B268" i="17"/>
  <c r="A269" i="17"/>
  <c r="B269" i="17"/>
  <c r="A270" i="17"/>
  <c r="B270" i="17"/>
  <c r="A271" i="17"/>
  <c r="B271" i="17"/>
  <c r="A272" i="17"/>
  <c r="B272" i="17"/>
  <c r="A273" i="17"/>
  <c r="B273" i="17"/>
  <c r="A274" i="17"/>
  <c r="B274" i="17"/>
  <c r="A275" i="17"/>
  <c r="B275" i="17"/>
  <c r="A276" i="17"/>
  <c r="B276" i="17"/>
  <c r="A277" i="17"/>
  <c r="B277" i="17"/>
  <c r="A278" i="17"/>
  <c r="B278" i="17"/>
  <c r="A279" i="17"/>
  <c r="B279" i="17"/>
  <c r="A280" i="17"/>
  <c r="B280" i="17"/>
  <c r="A281" i="17"/>
  <c r="B281" i="17"/>
  <c r="A282" i="17"/>
  <c r="B282" i="17"/>
  <c r="A283" i="17"/>
  <c r="B283" i="17"/>
  <c r="A284" i="17"/>
  <c r="B284" i="17"/>
  <c r="A285" i="17"/>
  <c r="B285" i="17"/>
  <c r="A286" i="17"/>
  <c r="B286" i="17"/>
  <c r="A287" i="17"/>
  <c r="B287" i="17"/>
  <c r="A288" i="17"/>
  <c r="B288" i="17"/>
  <c r="A289" i="17"/>
  <c r="B289" i="17"/>
  <c r="A290" i="17"/>
  <c r="B290" i="17"/>
  <c r="A291" i="17"/>
  <c r="B291" i="17"/>
  <c r="A292" i="17"/>
  <c r="B292" i="17"/>
  <c r="A293" i="17"/>
  <c r="B293" i="17"/>
  <c r="A294" i="17"/>
  <c r="B294" i="17"/>
  <c r="A295" i="17"/>
  <c r="B295" i="17"/>
  <c r="A296" i="17"/>
  <c r="B296" i="17"/>
  <c r="A297" i="17"/>
  <c r="B297" i="17"/>
  <c r="A298" i="17"/>
  <c r="B298" i="17"/>
  <c r="A299" i="17"/>
  <c r="B299" i="17"/>
  <c r="A300" i="17"/>
  <c r="B300" i="17"/>
  <c r="A301" i="17"/>
  <c r="B301" i="17"/>
  <c r="A302" i="17"/>
  <c r="B302" i="17"/>
  <c r="A303" i="17"/>
  <c r="B303" i="17"/>
  <c r="A304" i="17"/>
  <c r="B304" i="17"/>
  <c r="A305" i="17"/>
  <c r="B305" i="17"/>
  <c r="A306" i="17"/>
  <c r="B306" i="17"/>
  <c r="A307" i="17"/>
  <c r="B307" i="17"/>
  <c r="A308" i="17"/>
  <c r="B308" i="17"/>
  <c r="A309" i="17"/>
  <c r="B309" i="17"/>
  <c r="A310" i="17"/>
  <c r="B310" i="17"/>
  <c r="A311" i="17"/>
  <c r="B311" i="17"/>
  <c r="A312" i="17"/>
  <c r="B312" i="17"/>
  <c r="A313" i="17"/>
  <c r="B313" i="17"/>
  <c r="A314" i="17"/>
  <c r="B314" i="17"/>
  <c r="A315" i="17"/>
  <c r="B315" i="17"/>
  <c r="A316" i="17"/>
  <c r="B316" i="17"/>
  <c r="A317" i="17"/>
  <c r="B317" i="17"/>
  <c r="A318" i="17"/>
  <c r="B318" i="17"/>
  <c r="A319" i="17"/>
  <c r="B319" i="17"/>
  <c r="A320" i="17"/>
  <c r="B320" i="17"/>
  <c r="A321" i="17"/>
  <c r="B321" i="17"/>
  <c r="A322" i="17"/>
  <c r="B322" i="17"/>
  <c r="A323" i="17"/>
  <c r="B323" i="17"/>
  <c r="A324" i="17"/>
  <c r="B324" i="17"/>
  <c r="A325" i="17"/>
  <c r="B325" i="17"/>
  <c r="A326" i="17"/>
  <c r="B326" i="17"/>
  <c r="A327" i="17"/>
  <c r="B327" i="17"/>
  <c r="A328" i="17"/>
  <c r="B328" i="17"/>
  <c r="A329" i="17"/>
  <c r="B329" i="17"/>
  <c r="A330" i="17"/>
  <c r="B330" i="17"/>
  <c r="A331" i="17"/>
  <c r="B331" i="17"/>
  <c r="A332" i="17"/>
  <c r="B332" i="17"/>
  <c r="A333" i="17"/>
  <c r="B333" i="17"/>
  <c r="A334" i="17"/>
  <c r="B334" i="17"/>
  <c r="A335" i="17"/>
  <c r="B335" i="17"/>
  <c r="A336" i="17"/>
  <c r="B336" i="17"/>
  <c r="A337" i="17"/>
  <c r="B337" i="17"/>
  <c r="A338" i="17"/>
  <c r="B338" i="17"/>
  <c r="A339" i="17"/>
  <c r="B339" i="17"/>
  <c r="A340" i="17"/>
  <c r="B340" i="17"/>
  <c r="A341" i="17"/>
  <c r="B341" i="17"/>
  <c r="A342" i="17"/>
  <c r="B342" i="17"/>
  <c r="A343" i="17"/>
  <c r="B343" i="17"/>
  <c r="A344" i="17"/>
  <c r="B344" i="17"/>
  <c r="A345" i="17"/>
  <c r="B345" i="17"/>
  <c r="A346" i="17"/>
  <c r="B346" i="17"/>
  <c r="A347" i="17"/>
  <c r="B347" i="17"/>
  <c r="A348" i="17"/>
  <c r="B348" i="17"/>
  <c r="A349" i="17"/>
  <c r="B349" i="17"/>
  <c r="A350" i="17"/>
  <c r="B350" i="17"/>
  <c r="A351" i="17"/>
  <c r="B351" i="17"/>
  <c r="A352" i="17"/>
  <c r="B352" i="17"/>
  <c r="A353" i="17"/>
  <c r="B353" i="17"/>
  <c r="A354" i="17"/>
  <c r="B354" i="17"/>
  <c r="A355" i="17"/>
  <c r="B355" i="17"/>
  <c r="A356" i="17"/>
  <c r="B356" i="17"/>
  <c r="A357" i="17"/>
  <c r="B357" i="17"/>
  <c r="A358" i="17"/>
  <c r="B358" i="17"/>
  <c r="A359" i="17"/>
  <c r="B359" i="17"/>
  <c r="A360" i="17"/>
  <c r="B360" i="17"/>
  <c r="A361" i="17"/>
  <c r="B361" i="17"/>
  <c r="A362" i="17"/>
  <c r="B362" i="17"/>
  <c r="A363" i="17"/>
  <c r="B363" i="17"/>
  <c r="A364" i="17"/>
  <c r="B364" i="17"/>
  <c r="A365" i="17"/>
  <c r="B365" i="17"/>
  <c r="A366" i="17"/>
  <c r="B366" i="17"/>
  <c r="A367" i="17"/>
  <c r="B367" i="17"/>
  <c r="A368" i="17"/>
  <c r="B368" i="17"/>
  <c r="A369" i="17"/>
  <c r="B369" i="17"/>
  <c r="A370" i="17"/>
  <c r="B370" i="17"/>
  <c r="A371" i="17"/>
  <c r="B371" i="17"/>
  <c r="A372" i="17"/>
  <c r="B372" i="17"/>
  <c r="A373" i="17"/>
  <c r="B373" i="17"/>
  <c r="A374" i="17"/>
  <c r="B374" i="17"/>
  <c r="A375" i="17"/>
  <c r="B375" i="17"/>
  <c r="A376" i="17"/>
  <c r="B376" i="17"/>
  <c r="A377" i="17"/>
  <c r="B377" i="17"/>
  <c r="A378" i="17"/>
  <c r="B378" i="17"/>
  <c r="A379" i="17"/>
  <c r="B379" i="17"/>
  <c r="A380" i="17"/>
  <c r="B380" i="17"/>
  <c r="A381" i="17"/>
  <c r="B381" i="17"/>
  <c r="A382" i="17"/>
  <c r="B382" i="17"/>
  <c r="A383" i="17"/>
  <c r="B383" i="17"/>
  <c r="A384" i="17"/>
  <c r="B384" i="17"/>
  <c r="A385" i="17"/>
  <c r="B385" i="17"/>
  <c r="A386" i="17"/>
  <c r="B386" i="17"/>
  <c r="A387" i="17"/>
  <c r="B387" i="17"/>
  <c r="A388" i="17"/>
  <c r="B388" i="17"/>
  <c r="A389" i="17"/>
  <c r="B389" i="17"/>
  <c r="A390" i="17"/>
  <c r="B390" i="17"/>
  <c r="A391" i="17"/>
  <c r="B391" i="17"/>
  <c r="A392" i="17"/>
  <c r="B392" i="17"/>
  <c r="A393" i="17"/>
  <c r="B393" i="17"/>
  <c r="A394" i="17"/>
  <c r="B394" i="17"/>
  <c r="A395" i="17"/>
  <c r="B395" i="17"/>
  <c r="A396" i="17"/>
  <c r="B396" i="17"/>
  <c r="A397" i="17"/>
  <c r="B397" i="17"/>
  <c r="A398" i="17"/>
  <c r="B398" i="17"/>
  <c r="A399" i="17"/>
  <c r="B399" i="17"/>
  <c r="A400" i="17"/>
  <c r="B400" i="17"/>
  <c r="A401" i="17"/>
  <c r="B401" i="17"/>
  <c r="A402" i="17"/>
  <c r="B402" i="17"/>
  <c r="A403" i="17"/>
  <c r="B403" i="17"/>
  <c r="A404" i="17"/>
  <c r="B404" i="17"/>
  <c r="A405" i="17"/>
  <c r="B405" i="17"/>
  <c r="A406" i="17"/>
  <c r="B406" i="17"/>
  <c r="A407" i="17"/>
  <c r="B407" i="17"/>
  <c r="A408" i="17"/>
  <c r="B408" i="17"/>
  <c r="A409" i="17"/>
  <c r="B409" i="17"/>
  <c r="A410" i="17"/>
  <c r="B410" i="17"/>
  <c r="A411" i="17"/>
  <c r="B411" i="17"/>
  <c r="A412" i="17"/>
  <c r="B412" i="17"/>
  <c r="A413" i="17"/>
  <c r="B413" i="17"/>
  <c r="A414" i="17"/>
  <c r="B414" i="17"/>
  <c r="A415" i="17"/>
  <c r="B415" i="17"/>
  <c r="A416" i="17"/>
  <c r="B416" i="17"/>
  <c r="A417" i="17"/>
  <c r="B417" i="17"/>
  <c r="A418" i="17"/>
  <c r="B418" i="17"/>
  <c r="A419" i="17"/>
  <c r="B419" i="17"/>
  <c r="A420" i="17"/>
  <c r="B420" i="17"/>
  <c r="A421" i="17"/>
  <c r="B421" i="17"/>
  <c r="A422" i="17"/>
  <c r="B422" i="17"/>
  <c r="A423" i="17"/>
  <c r="B423" i="17"/>
  <c r="A424" i="17"/>
  <c r="B424" i="17"/>
  <c r="A425" i="17"/>
  <c r="B425" i="17"/>
  <c r="A426" i="17"/>
  <c r="B426" i="17"/>
  <c r="A427" i="17"/>
  <c r="B427" i="17"/>
  <c r="A428" i="17"/>
  <c r="B428" i="17"/>
  <c r="A429" i="17"/>
  <c r="B429" i="17"/>
  <c r="A430" i="17"/>
  <c r="B430" i="17"/>
  <c r="A431" i="17"/>
  <c r="B431" i="17"/>
  <c r="A432" i="17"/>
  <c r="B432" i="17"/>
  <c r="A433" i="17"/>
  <c r="B433" i="17"/>
  <c r="A434" i="17"/>
  <c r="B434" i="17"/>
  <c r="A435" i="17"/>
  <c r="B435" i="17"/>
  <c r="A436" i="17"/>
  <c r="B436" i="17"/>
  <c r="A437" i="17"/>
  <c r="B437" i="17"/>
  <c r="A438" i="17"/>
  <c r="B438" i="17"/>
  <c r="A439" i="17"/>
  <c r="B439" i="17"/>
  <c r="A440" i="17"/>
  <c r="B440" i="17"/>
  <c r="A441" i="17"/>
  <c r="B441" i="17"/>
  <c r="A442" i="17"/>
  <c r="B442" i="17"/>
  <c r="A443" i="17"/>
  <c r="B443" i="17"/>
  <c r="A444" i="17"/>
  <c r="B444" i="17"/>
  <c r="A445" i="17"/>
  <c r="B445" i="17"/>
  <c r="A446" i="17"/>
  <c r="B446" i="17"/>
  <c r="A447" i="17"/>
  <c r="B447" i="17"/>
  <c r="A448" i="17"/>
  <c r="B448" i="17"/>
  <c r="A449" i="17"/>
  <c r="B449" i="17"/>
  <c r="A450" i="17"/>
  <c r="B450" i="17"/>
  <c r="A451" i="17"/>
  <c r="B451" i="17"/>
  <c r="A452" i="17"/>
  <c r="B452" i="17"/>
  <c r="A453" i="17"/>
  <c r="B453" i="17"/>
  <c r="A454" i="17"/>
  <c r="B454" i="17"/>
  <c r="A455" i="17"/>
  <c r="B455" i="17"/>
  <c r="A456" i="17"/>
  <c r="B456" i="17"/>
  <c r="A457" i="17"/>
  <c r="B457" i="17"/>
  <c r="A458" i="17"/>
  <c r="B458" i="17"/>
  <c r="A459" i="17"/>
  <c r="B459" i="17"/>
  <c r="A460" i="17"/>
  <c r="B460" i="17"/>
  <c r="A461" i="17"/>
  <c r="B461" i="17"/>
  <c r="A462" i="17"/>
  <c r="B462" i="17"/>
  <c r="A463" i="17"/>
  <c r="B463" i="17"/>
  <c r="A464" i="17"/>
  <c r="B464" i="17"/>
  <c r="A465" i="17"/>
  <c r="B465" i="17"/>
  <c r="A466" i="17"/>
  <c r="B466" i="17"/>
  <c r="A467" i="17"/>
  <c r="B467" i="17"/>
  <c r="A468" i="17"/>
  <c r="B468" i="17"/>
  <c r="A469" i="17"/>
  <c r="B469" i="17"/>
  <c r="A470" i="17"/>
  <c r="B470" i="17"/>
  <c r="A471" i="17"/>
  <c r="B471" i="17"/>
  <c r="A472" i="17"/>
  <c r="B472" i="17"/>
  <c r="A473" i="17"/>
  <c r="B473" i="17"/>
  <c r="A474" i="17"/>
  <c r="B474" i="17"/>
  <c r="A475" i="17"/>
  <c r="B475" i="17"/>
  <c r="A476" i="17"/>
  <c r="B476" i="17"/>
  <c r="A477" i="17"/>
  <c r="B477" i="17"/>
  <c r="A478" i="17"/>
  <c r="B478" i="17"/>
  <c r="A479" i="17"/>
  <c r="B479" i="17"/>
  <c r="A480" i="17"/>
  <c r="B480" i="17"/>
  <c r="A481" i="17"/>
  <c r="B481" i="17"/>
  <c r="A482" i="17"/>
  <c r="B482" i="17"/>
  <c r="A483" i="17"/>
  <c r="B483" i="17"/>
  <c r="A484" i="17"/>
  <c r="B484" i="17"/>
  <c r="A485" i="17"/>
  <c r="B485" i="17"/>
  <c r="A486" i="17"/>
  <c r="B486" i="17"/>
  <c r="A487" i="17"/>
  <c r="B487" i="17"/>
  <c r="A488" i="17"/>
  <c r="B488" i="17"/>
  <c r="A489" i="17"/>
  <c r="B489" i="17"/>
  <c r="A490" i="17"/>
  <c r="B490" i="17"/>
  <c r="A491" i="17"/>
  <c r="B491" i="17"/>
  <c r="A492" i="17"/>
  <c r="B492" i="17"/>
  <c r="A493" i="17"/>
  <c r="B493" i="17"/>
  <c r="A494" i="17"/>
  <c r="B494" i="17"/>
  <c r="A495" i="17"/>
  <c r="B495" i="17"/>
  <c r="A496" i="17"/>
  <c r="B496" i="17"/>
  <c r="A497" i="17"/>
  <c r="B497" i="17"/>
  <c r="A498" i="17"/>
  <c r="B498" i="17"/>
  <c r="A499" i="17"/>
  <c r="B499" i="17"/>
  <c r="A500" i="17"/>
  <c r="B500" i="17"/>
  <c r="A501" i="17"/>
  <c r="B501" i="17"/>
  <c r="B3" i="17"/>
  <c r="A3" i="17"/>
  <c r="A4" i="4"/>
  <c r="B4" i="4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B3" i="4"/>
  <c r="A3" i="4"/>
  <c r="C5" i="13" l="1"/>
  <c r="D4" i="17"/>
  <c r="F4" i="17"/>
  <c r="D5" i="17"/>
  <c r="F5" i="17"/>
  <c r="D6" i="17"/>
  <c r="F6" i="17"/>
  <c r="D7" i="17"/>
  <c r="F7" i="17"/>
  <c r="D8" i="17"/>
  <c r="F8" i="17"/>
  <c r="D9" i="17"/>
  <c r="F9" i="17"/>
  <c r="D10" i="17"/>
  <c r="F10" i="17"/>
  <c r="D11" i="17"/>
  <c r="F11" i="17"/>
  <c r="D12" i="17"/>
  <c r="F12" i="17"/>
  <c r="D13" i="17"/>
  <c r="F13" i="17"/>
  <c r="D14" i="17"/>
  <c r="F14" i="17"/>
  <c r="D15" i="17"/>
  <c r="F15" i="17"/>
  <c r="D16" i="17"/>
  <c r="F16" i="17"/>
  <c r="D17" i="17"/>
  <c r="F17" i="17"/>
  <c r="D18" i="17"/>
  <c r="F18" i="17"/>
  <c r="D19" i="17"/>
  <c r="F19" i="17"/>
  <c r="D20" i="17"/>
  <c r="F20" i="17"/>
  <c r="D21" i="17"/>
  <c r="F21" i="17"/>
  <c r="D22" i="17"/>
  <c r="F22" i="17"/>
  <c r="D23" i="17"/>
  <c r="F23" i="17"/>
  <c r="D24" i="17"/>
  <c r="F24" i="17"/>
  <c r="D25" i="17"/>
  <c r="F25" i="17"/>
  <c r="D26" i="17"/>
  <c r="F26" i="17"/>
  <c r="D27" i="17"/>
  <c r="F27" i="17"/>
  <c r="D28" i="17"/>
  <c r="F28" i="17"/>
  <c r="D29" i="17"/>
  <c r="F29" i="17"/>
  <c r="D30" i="17"/>
  <c r="F30" i="17"/>
  <c r="D31" i="17"/>
  <c r="F31" i="17"/>
  <c r="D32" i="17"/>
  <c r="F32" i="17"/>
  <c r="D33" i="17"/>
  <c r="F33" i="17"/>
  <c r="D34" i="17"/>
  <c r="F34" i="17"/>
  <c r="D35" i="17"/>
  <c r="F35" i="17"/>
  <c r="D36" i="17"/>
  <c r="F36" i="17"/>
  <c r="D37" i="17"/>
  <c r="F37" i="17"/>
  <c r="D38" i="17"/>
  <c r="F38" i="17"/>
  <c r="D39" i="17"/>
  <c r="F39" i="17"/>
  <c r="D40" i="17"/>
  <c r="F40" i="17"/>
  <c r="D41" i="17"/>
  <c r="F41" i="17"/>
  <c r="D42" i="17"/>
  <c r="F42" i="17"/>
  <c r="D43" i="17"/>
  <c r="F43" i="17"/>
  <c r="D44" i="17"/>
  <c r="F44" i="17"/>
  <c r="D45" i="17"/>
  <c r="F45" i="17"/>
  <c r="D46" i="17"/>
  <c r="F46" i="17"/>
  <c r="D47" i="17"/>
  <c r="F47" i="17"/>
  <c r="D48" i="17"/>
  <c r="F48" i="17"/>
  <c r="D49" i="17"/>
  <c r="F49" i="17"/>
  <c r="D50" i="17"/>
  <c r="F50" i="17"/>
  <c r="D51" i="17"/>
  <c r="F51" i="17"/>
  <c r="D52" i="17"/>
  <c r="F52" i="17"/>
  <c r="D53" i="17"/>
  <c r="F53" i="17"/>
  <c r="D54" i="17"/>
  <c r="F54" i="17"/>
  <c r="D55" i="17"/>
  <c r="F55" i="17"/>
  <c r="D56" i="17"/>
  <c r="F56" i="17"/>
  <c r="D57" i="17"/>
  <c r="F57" i="17"/>
  <c r="D58" i="17"/>
  <c r="F58" i="17"/>
  <c r="D59" i="17"/>
  <c r="F59" i="17"/>
  <c r="D60" i="17"/>
  <c r="F60" i="17"/>
  <c r="D61" i="17"/>
  <c r="F61" i="17"/>
  <c r="D62" i="17"/>
  <c r="F62" i="17"/>
  <c r="D63" i="17"/>
  <c r="F63" i="17"/>
  <c r="D64" i="17"/>
  <c r="F64" i="17"/>
  <c r="D65" i="17"/>
  <c r="F65" i="17"/>
  <c r="D66" i="17"/>
  <c r="F66" i="17"/>
  <c r="D67" i="17"/>
  <c r="F67" i="17"/>
  <c r="D68" i="17"/>
  <c r="F68" i="17"/>
  <c r="D69" i="17"/>
  <c r="F69" i="17"/>
  <c r="D70" i="17"/>
  <c r="F70" i="17"/>
  <c r="D71" i="17"/>
  <c r="F71" i="17"/>
  <c r="D72" i="17"/>
  <c r="F72" i="17"/>
  <c r="D73" i="17"/>
  <c r="F73" i="17"/>
  <c r="D74" i="17"/>
  <c r="F74" i="17"/>
  <c r="D75" i="17"/>
  <c r="F75" i="17"/>
  <c r="D76" i="17"/>
  <c r="F76" i="17"/>
  <c r="D77" i="17"/>
  <c r="F77" i="17"/>
  <c r="D78" i="17"/>
  <c r="F78" i="17"/>
  <c r="D79" i="17"/>
  <c r="F79" i="17"/>
  <c r="D80" i="17"/>
  <c r="F80" i="17"/>
  <c r="D81" i="17"/>
  <c r="F81" i="17"/>
  <c r="D82" i="17"/>
  <c r="F82" i="17"/>
  <c r="D83" i="17"/>
  <c r="F83" i="17"/>
  <c r="D84" i="17"/>
  <c r="F84" i="17"/>
  <c r="D85" i="17"/>
  <c r="F85" i="17"/>
  <c r="D86" i="17"/>
  <c r="F86" i="17"/>
  <c r="D87" i="17"/>
  <c r="F87" i="17"/>
  <c r="D88" i="17"/>
  <c r="F88" i="17"/>
  <c r="D89" i="17"/>
  <c r="F89" i="17"/>
  <c r="D90" i="17"/>
  <c r="F90" i="17"/>
  <c r="D91" i="17"/>
  <c r="F91" i="17"/>
  <c r="D92" i="17"/>
  <c r="F92" i="17"/>
  <c r="D93" i="17"/>
  <c r="F93" i="17"/>
  <c r="D94" i="17"/>
  <c r="F94" i="17"/>
  <c r="D95" i="17"/>
  <c r="F95" i="17"/>
  <c r="D96" i="17"/>
  <c r="F96" i="17"/>
  <c r="D97" i="17"/>
  <c r="F97" i="17"/>
  <c r="D98" i="17"/>
  <c r="F98" i="17"/>
  <c r="D99" i="17"/>
  <c r="F99" i="17"/>
  <c r="D100" i="17"/>
  <c r="F100" i="17"/>
  <c r="D101" i="17"/>
  <c r="F101" i="17"/>
  <c r="D102" i="17"/>
  <c r="F102" i="17"/>
  <c r="D103" i="17"/>
  <c r="F103" i="17"/>
  <c r="D104" i="17"/>
  <c r="F104" i="17"/>
  <c r="D105" i="17"/>
  <c r="F105" i="17"/>
  <c r="D106" i="17"/>
  <c r="F106" i="17"/>
  <c r="D107" i="17"/>
  <c r="F107" i="17"/>
  <c r="D108" i="17"/>
  <c r="F108" i="17"/>
  <c r="D109" i="17"/>
  <c r="F109" i="17"/>
  <c r="D110" i="17"/>
  <c r="F110" i="17"/>
  <c r="D111" i="17"/>
  <c r="F111" i="17"/>
  <c r="D112" i="17"/>
  <c r="F112" i="17"/>
  <c r="D113" i="17"/>
  <c r="F113" i="17"/>
  <c r="D114" i="17"/>
  <c r="F114" i="17"/>
  <c r="D115" i="17"/>
  <c r="F115" i="17"/>
  <c r="D116" i="17"/>
  <c r="F116" i="17"/>
  <c r="D117" i="17"/>
  <c r="F117" i="17"/>
  <c r="D118" i="17"/>
  <c r="F118" i="17"/>
  <c r="D119" i="17"/>
  <c r="F119" i="17"/>
  <c r="D120" i="17"/>
  <c r="F120" i="17"/>
  <c r="D121" i="17"/>
  <c r="F121" i="17"/>
  <c r="D122" i="17"/>
  <c r="F122" i="17"/>
  <c r="D123" i="17"/>
  <c r="F123" i="17"/>
  <c r="D124" i="17"/>
  <c r="F124" i="17"/>
  <c r="D125" i="17"/>
  <c r="F125" i="17"/>
  <c r="D126" i="17"/>
  <c r="F126" i="17"/>
  <c r="D127" i="17"/>
  <c r="F127" i="17"/>
  <c r="D128" i="17"/>
  <c r="F128" i="17"/>
  <c r="D129" i="17"/>
  <c r="F129" i="17"/>
  <c r="D130" i="17"/>
  <c r="F130" i="17"/>
  <c r="D131" i="17"/>
  <c r="F131" i="17"/>
  <c r="D132" i="17"/>
  <c r="F132" i="17"/>
  <c r="D133" i="17"/>
  <c r="F133" i="17"/>
  <c r="D134" i="17"/>
  <c r="F134" i="17"/>
  <c r="D135" i="17"/>
  <c r="F135" i="17"/>
  <c r="D136" i="17"/>
  <c r="F136" i="17"/>
  <c r="D137" i="17"/>
  <c r="F137" i="17"/>
  <c r="D138" i="17"/>
  <c r="F138" i="17"/>
  <c r="D139" i="17"/>
  <c r="F139" i="17"/>
  <c r="D140" i="17"/>
  <c r="F140" i="17"/>
  <c r="D141" i="17"/>
  <c r="F141" i="17"/>
  <c r="D142" i="17"/>
  <c r="F142" i="17"/>
  <c r="D143" i="17"/>
  <c r="F143" i="17"/>
  <c r="D144" i="17"/>
  <c r="F144" i="17"/>
  <c r="D145" i="17"/>
  <c r="F145" i="17"/>
  <c r="D146" i="17"/>
  <c r="F146" i="17"/>
  <c r="D147" i="17"/>
  <c r="F147" i="17"/>
  <c r="D148" i="17"/>
  <c r="F148" i="17"/>
  <c r="D149" i="17"/>
  <c r="F149" i="17"/>
  <c r="D150" i="17"/>
  <c r="F150" i="17"/>
  <c r="D151" i="17"/>
  <c r="F151" i="17"/>
  <c r="D152" i="17"/>
  <c r="F152" i="17"/>
  <c r="D153" i="17"/>
  <c r="F153" i="17"/>
  <c r="D154" i="17"/>
  <c r="F154" i="17"/>
  <c r="D155" i="17"/>
  <c r="F155" i="17"/>
  <c r="D156" i="17"/>
  <c r="F156" i="17"/>
  <c r="D157" i="17"/>
  <c r="F157" i="17"/>
  <c r="D158" i="17"/>
  <c r="F158" i="17"/>
  <c r="D159" i="17"/>
  <c r="F159" i="17"/>
  <c r="D160" i="17"/>
  <c r="F160" i="17"/>
  <c r="D161" i="17"/>
  <c r="F161" i="17"/>
  <c r="D162" i="17"/>
  <c r="F162" i="17"/>
  <c r="D163" i="17"/>
  <c r="F163" i="17"/>
  <c r="D164" i="17"/>
  <c r="F164" i="17"/>
  <c r="D165" i="17"/>
  <c r="F165" i="17"/>
  <c r="D166" i="17"/>
  <c r="F166" i="17"/>
  <c r="D167" i="17"/>
  <c r="F167" i="17"/>
  <c r="D168" i="17"/>
  <c r="F168" i="17"/>
  <c r="D169" i="17"/>
  <c r="F169" i="17"/>
  <c r="D170" i="17"/>
  <c r="F170" i="17"/>
  <c r="D171" i="17"/>
  <c r="F171" i="17"/>
  <c r="D172" i="17"/>
  <c r="F172" i="17"/>
  <c r="D173" i="17"/>
  <c r="F173" i="17"/>
  <c r="D174" i="17"/>
  <c r="F174" i="17"/>
  <c r="D175" i="17"/>
  <c r="F175" i="17"/>
  <c r="D176" i="17"/>
  <c r="F176" i="17"/>
  <c r="D177" i="17"/>
  <c r="F177" i="17"/>
  <c r="D178" i="17"/>
  <c r="F178" i="17"/>
  <c r="D179" i="17"/>
  <c r="F179" i="17"/>
  <c r="D180" i="17"/>
  <c r="F180" i="17"/>
  <c r="D181" i="17"/>
  <c r="F181" i="17"/>
  <c r="D182" i="17"/>
  <c r="F182" i="17"/>
  <c r="D183" i="17"/>
  <c r="F183" i="17"/>
  <c r="D184" i="17"/>
  <c r="F184" i="17"/>
  <c r="D185" i="17"/>
  <c r="F185" i="17"/>
  <c r="D186" i="17"/>
  <c r="F186" i="17"/>
  <c r="D187" i="17"/>
  <c r="F187" i="17"/>
  <c r="D188" i="17"/>
  <c r="F188" i="17"/>
  <c r="D189" i="17"/>
  <c r="F189" i="17"/>
  <c r="D190" i="17"/>
  <c r="F190" i="17"/>
  <c r="D191" i="17"/>
  <c r="F191" i="17"/>
  <c r="D192" i="17"/>
  <c r="F192" i="17"/>
  <c r="D193" i="17"/>
  <c r="F193" i="17"/>
  <c r="D194" i="17"/>
  <c r="F194" i="17"/>
  <c r="D195" i="17"/>
  <c r="F195" i="17"/>
  <c r="D196" i="17"/>
  <c r="F196" i="17"/>
  <c r="D197" i="17"/>
  <c r="F197" i="17"/>
  <c r="D198" i="17"/>
  <c r="F198" i="17"/>
  <c r="D199" i="17"/>
  <c r="F199" i="17"/>
  <c r="D200" i="17"/>
  <c r="F200" i="17"/>
  <c r="D201" i="17"/>
  <c r="F201" i="17"/>
  <c r="D202" i="17"/>
  <c r="F202" i="17"/>
  <c r="D203" i="17"/>
  <c r="F203" i="17"/>
  <c r="D204" i="17"/>
  <c r="F204" i="17"/>
  <c r="D205" i="17"/>
  <c r="F205" i="17"/>
  <c r="D206" i="17"/>
  <c r="F206" i="17"/>
  <c r="D207" i="17"/>
  <c r="F207" i="17"/>
  <c r="D208" i="17"/>
  <c r="F208" i="17"/>
  <c r="D209" i="17"/>
  <c r="F209" i="17"/>
  <c r="D210" i="17"/>
  <c r="F210" i="17"/>
  <c r="D211" i="17"/>
  <c r="F211" i="17"/>
  <c r="D212" i="17"/>
  <c r="F212" i="17"/>
  <c r="D213" i="17"/>
  <c r="F213" i="17"/>
  <c r="D214" i="17"/>
  <c r="F214" i="17"/>
  <c r="D215" i="17"/>
  <c r="F215" i="17"/>
  <c r="D216" i="17"/>
  <c r="F216" i="17"/>
  <c r="D217" i="17"/>
  <c r="F217" i="17"/>
  <c r="D218" i="17"/>
  <c r="F218" i="17"/>
  <c r="D219" i="17"/>
  <c r="F219" i="17"/>
  <c r="D220" i="17"/>
  <c r="F220" i="17"/>
  <c r="D221" i="17"/>
  <c r="F221" i="17"/>
  <c r="D222" i="17"/>
  <c r="F222" i="17"/>
  <c r="D223" i="17"/>
  <c r="F223" i="17"/>
  <c r="D224" i="17"/>
  <c r="F224" i="17"/>
  <c r="D225" i="17"/>
  <c r="F225" i="17"/>
  <c r="D226" i="17"/>
  <c r="F226" i="17"/>
  <c r="D227" i="17"/>
  <c r="F227" i="17"/>
  <c r="D228" i="17"/>
  <c r="F228" i="17"/>
  <c r="D229" i="17"/>
  <c r="F229" i="17"/>
  <c r="D230" i="17"/>
  <c r="F230" i="17"/>
  <c r="D231" i="17"/>
  <c r="F231" i="17"/>
  <c r="D232" i="17"/>
  <c r="F232" i="17"/>
  <c r="D233" i="17"/>
  <c r="F233" i="17"/>
  <c r="D234" i="17"/>
  <c r="F234" i="17"/>
  <c r="D235" i="17"/>
  <c r="F235" i="17"/>
  <c r="D236" i="17"/>
  <c r="F236" i="17"/>
  <c r="D237" i="17"/>
  <c r="F237" i="17"/>
  <c r="D238" i="17"/>
  <c r="F238" i="17"/>
  <c r="D239" i="17"/>
  <c r="F239" i="17"/>
  <c r="D240" i="17"/>
  <c r="F240" i="17"/>
  <c r="D241" i="17"/>
  <c r="F241" i="17"/>
  <c r="D242" i="17"/>
  <c r="F242" i="17"/>
  <c r="D243" i="17"/>
  <c r="F243" i="17"/>
  <c r="D244" i="17"/>
  <c r="F244" i="17"/>
  <c r="D245" i="17"/>
  <c r="F245" i="17"/>
  <c r="D246" i="17"/>
  <c r="F246" i="17"/>
  <c r="D247" i="17"/>
  <c r="F247" i="17"/>
  <c r="D248" i="17"/>
  <c r="F248" i="17"/>
  <c r="D249" i="17"/>
  <c r="F249" i="17"/>
  <c r="D250" i="17"/>
  <c r="F250" i="17"/>
  <c r="D251" i="17"/>
  <c r="F251" i="17"/>
  <c r="D252" i="17"/>
  <c r="F252" i="17"/>
  <c r="D253" i="17"/>
  <c r="F253" i="17"/>
  <c r="D254" i="17"/>
  <c r="F254" i="17"/>
  <c r="D255" i="17"/>
  <c r="F255" i="17"/>
  <c r="D256" i="17"/>
  <c r="F256" i="17"/>
  <c r="D257" i="17"/>
  <c r="F257" i="17"/>
  <c r="D258" i="17"/>
  <c r="F258" i="17"/>
  <c r="D259" i="17"/>
  <c r="F259" i="17"/>
  <c r="D260" i="17"/>
  <c r="F260" i="17"/>
  <c r="D261" i="17"/>
  <c r="F261" i="17"/>
  <c r="D262" i="17"/>
  <c r="F262" i="17"/>
  <c r="D263" i="17"/>
  <c r="F263" i="17"/>
  <c r="D264" i="17"/>
  <c r="F264" i="17"/>
  <c r="D265" i="17"/>
  <c r="F265" i="17"/>
  <c r="D266" i="17"/>
  <c r="F266" i="17"/>
  <c r="D267" i="17"/>
  <c r="F267" i="17"/>
  <c r="D268" i="17"/>
  <c r="F268" i="17"/>
  <c r="D269" i="17"/>
  <c r="F269" i="17"/>
  <c r="D270" i="17"/>
  <c r="F270" i="17"/>
  <c r="D271" i="17"/>
  <c r="F271" i="17"/>
  <c r="D272" i="17"/>
  <c r="F272" i="17"/>
  <c r="D273" i="17"/>
  <c r="F273" i="17"/>
  <c r="D274" i="17"/>
  <c r="F274" i="17"/>
  <c r="D275" i="17"/>
  <c r="F275" i="17"/>
  <c r="D276" i="17"/>
  <c r="F276" i="17"/>
  <c r="D277" i="17"/>
  <c r="F277" i="17"/>
  <c r="D278" i="17"/>
  <c r="F278" i="17"/>
  <c r="D279" i="17"/>
  <c r="F279" i="17"/>
  <c r="D280" i="17"/>
  <c r="F280" i="17"/>
  <c r="D281" i="17"/>
  <c r="F281" i="17"/>
  <c r="D282" i="17"/>
  <c r="F282" i="17"/>
  <c r="D283" i="17"/>
  <c r="F283" i="17"/>
  <c r="D284" i="17"/>
  <c r="F284" i="17"/>
  <c r="D285" i="17"/>
  <c r="F285" i="17"/>
  <c r="D286" i="17"/>
  <c r="F286" i="17"/>
  <c r="D287" i="17"/>
  <c r="F287" i="17"/>
  <c r="D288" i="17"/>
  <c r="F288" i="17"/>
  <c r="D289" i="17"/>
  <c r="F289" i="17"/>
  <c r="D290" i="17"/>
  <c r="F290" i="17"/>
  <c r="D291" i="17"/>
  <c r="F291" i="17"/>
  <c r="D292" i="17"/>
  <c r="F292" i="17"/>
  <c r="D293" i="17"/>
  <c r="F293" i="17"/>
  <c r="D294" i="17"/>
  <c r="F294" i="17"/>
  <c r="D295" i="17"/>
  <c r="F295" i="17"/>
  <c r="D296" i="17"/>
  <c r="F296" i="17"/>
  <c r="D297" i="17"/>
  <c r="F297" i="17"/>
  <c r="D298" i="17"/>
  <c r="F298" i="17"/>
  <c r="D299" i="17"/>
  <c r="F299" i="17"/>
  <c r="D300" i="17"/>
  <c r="F300" i="17"/>
  <c r="D301" i="17"/>
  <c r="F301" i="17"/>
  <c r="D302" i="17"/>
  <c r="F302" i="17"/>
  <c r="D303" i="17"/>
  <c r="F303" i="17"/>
  <c r="D304" i="17"/>
  <c r="F304" i="17"/>
  <c r="D305" i="17"/>
  <c r="F305" i="17"/>
  <c r="D306" i="17"/>
  <c r="F306" i="17"/>
  <c r="D307" i="17"/>
  <c r="F307" i="17"/>
  <c r="D308" i="17"/>
  <c r="F308" i="17"/>
  <c r="D309" i="17"/>
  <c r="F309" i="17"/>
  <c r="D310" i="17"/>
  <c r="F310" i="17"/>
  <c r="D311" i="17"/>
  <c r="F311" i="17"/>
  <c r="D312" i="17"/>
  <c r="F312" i="17"/>
  <c r="D313" i="17"/>
  <c r="F313" i="17"/>
  <c r="D314" i="17"/>
  <c r="F314" i="17"/>
  <c r="D315" i="17"/>
  <c r="F315" i="17"/>
  <c r="D316" i="17"/>
  <c r="F316" i="17"/>
  <c r="D317" i="17"/>
  <c r="F317" i="17"/>
  <c r="D318" i="17"/>
  <c r="F318" i="17"/>
  <c r="D319" i="17"/>
  <c r="F319" i="17"/>
  <c r="D320" i="17"/>
  <c r="F320" i="17"/>
  <c r="D321" i="17"/>
  <c r="F321" i="17"/>
  <c r="D322" i="17"/>
  <c r="F322" i="17"/>
  <c r="D323" i="17"/>
  <c r="F323" i="17"/>
  <c r="D324" i="17"/>
  <c r="F324" i="17"/>
  <c r="D325" i="17"/>
  <c r="F325" i="17"/>
  <c r="D326" i="17"/>
  <c r="F326" i="17"/>
  <c r="D327" i="17"/>
  <c r="F327" i="17"/>
  <c r="D328" i="17"/>
  <c r="F328" i="17"/>
  <c r="D329" i="17"/>
  <c r="F329" i="17"/>
  <c r="D330" i="17"/>
  <c r="F330" i="17"/>
  <c r="D331" i="17"/>
  <c r="F331" i="17"/>
  <c r="D332" i="17"/>
  <c r="F332" i="17"/>
  <c r="D333" i="17"/>
  <c r="F333" i="17"/>
  <c r="D334" i="17"/>
  <c r="F334" i="17"/>
  <c r="D335" i="17"/>
  <c r="F335" i="17"/>
  <c r="D336" i="17"/>
  <c r="F336" i="17"/>
  <c r="D337" i="17"/>
  <c r="F337" i="17"/>
  <c r="D338" i="17"/>
  <c r="F338" i="17"/>
  <c r="D339" i="17"/>
  <c r="F339" i="17"/>
  <c r="D340" i="17"/>
  <c r="F340" i="17"/>
  <c r="D341" i="17"/>
  <c r="F341" i="17"/>
  <c r="D342" i="17"/>
  <c r="F342" i="17"/>
  <c r="D343" i="17"/>
  <c r="F343" i="17"/>
  <c r="D344" i="17"/>
  <c r="F344" i="17"/>
  <c r="D345" i="17"/>
  <c r="F345" i="17"/>
  <c r="D346" i="17"/>
  <c r="F346" i="17"/>
  <c r="D347" i="17"/>
  <c r="F347" i="17"/>
  <c r="D348" i="17"/>
  <c r="F348" i="17"/>
  <c r="D349" i="17"/>
  <c r="F349" i="17"/>
  <c r="D350" i="17"/>
  <c r="F350" i="17"/>
  <c r="D351" i="17"/>
  <c r="F351" i="17"/>
  <c r="D352" i="17"/>
  <c r="F352" i="17"/>
  <c r="D353" i="17"/>
  <c r="F353" i="17"/>
  <c r="D354" i="17"/>
  <c r="F354" i="17"/>
  <c r="D355" i="17"/>
  <c r="F355" i="17"/>
  <c r="D356" i="17"/>
  <c r="F356" i="17"/>
  <c r="D357" i="17"/>
  <c r="F357" i="17"/>
  <c r="D358" i="17"/>
  <c r="F358" i="17"/>
  <c r="D359" i="17"/>
  <c r="F359" i="17"/>
  <c r="D360" i="17"/>
  <c r="F360" i="17"/>
  <c r="D361" i="17"/>
  <c r="F361" i="17"/>
  <c r="D362" i="17"/>
  <c r="F362" i="17"/>
  <c r="D363" i="17"/>
  <c r="F363" i="17"/>
  <c r="D364" i="17"/>
  <c r="F364" i="17"/>
  <c r="D365" i="17"/>
  <c r="F365" i="17"/>
  <c r="D366" i="17"/>
  <c r="F366" i="17"/>
  <c r="D367" i="17"/>
  <c r="F367" i="17"/>
  <c r="D368" i="17"/>
  <c r="F368" i="17"/>
  <c r="D369" i="17"/>
  <c r="F369" i="17"/>
  <c r="D370" i="17"/>
  <c r="F370" i="17"/>
  <c r="D371" i="17"/>
  <c r="F371" i="17"/>
  <c r="D372" i="17"/>
  <c r="F372" i="17"/>
  <c r="D373" i="17"/>
  <c r="F373" i="17"/>
  <c r="D374" i="17"/>
  <c r="F374" i="17"/>
  <c r="D375" i="17"/>
  <c r="F375" i="17"/>
  <c r="D376" i="17"/>
  <c r="F376" i="17"/>
  <c r="D377" i="17"/>
  <c r="F377" i="17"/>
  <c r="D378" i="17"/>
  <c r="F378" i="17"/>
  <c r="D379" i="17"/>
  <c r="F379" i="17"/>
  <c r="D380" i="17"/>
  <c r="F380" i="17"/>
  <c r="D381" i="17"/>
  <c r="F381" i="17"/>
  <c r="D382" i="17"/>
  <c r="F382" i="17"/>
  <c r="D383" i="17"/>
  <c r="F383" i="17"/>
  <c r="D384" i="17"/>
  <c r="F384" i="17"/>
  <c r="D385" i="17"/>
  <c r="F385" i="17"/>
  <c r="D386" i="17"/>
  <c r="F386" i="17"/>
  <c r="D387" i="17"/>
  <c r="F387" i="17"/>
  <c r="D388" i="17"/>
  <c r="F388" i="17"/>
  <c r="D389" i="17"/>
  <c r="F389" i="17"/>
  <c r="D390" i="17"/>
  <c r="F390" i="17"/>
  <c r="D391" i="17"/>
  <c r="F391" i="17"/>
  <c r="D392" i="17"/>
  <c r="F392" i="17"/>
  <c r="D393" i="17"/>
  <c r="F393" i="17"/>
  <c r="D394" i="17"/>
  <c r="F394" i="17"/>
  <c r="D395" i="17"/>
  <c r="F395" i="17"/>
  <c r="D396" i="17"/>
  <c r="F396" i="17"/>
  <c r="D397" i="17"/>
  <c r="F397" i="17"/>
  <c r="D398" i="17"/>
  <c r="F398" i="17"/>
  <c r="D399" i="17"/>
  <c r="F399" i="17"/>
  <c r="D400" i="17"/>
  <c r="F400" i="17"/>
  <c r="D401" i="17"/>
  <c r="F401" i="17"/>
  <c r="D402" i="17"/>
  <c r="F402" i="17"/>
  <c r="D403" i="17"/>
  <c r="F403" i="17"/>
  <c r="D404" i="17"/>
  <c r="F404" i="17"/>
  <c r="D405" i="17"/>
  <c r="F405" i="17"/>
  <c r="D406" i="17"/>
  <c r="F406" i="17"/>
  <c r="D407" i="17"/>
  <c r="F407" i="17"/>
  <c r="D408" i="17"/>
  <c r="F408" i="17"/>
  <c r="D409" i="17"/>
  <c r="F409" i="17"/>
  <c r="D410" i="17"/>
  <c r="F410" i="17"/>
  <c r="D411" i="17"/>
  <c r="F411" i="17"/>
  <c r="D412" i="17"/>
  <c r="F412" i="17"/>
  <c r="D413" i="17"/>
  <c r="F413" i="17"/>
  <c r="D414" i="17"/>
  <c r="F414" i="17"/>
  <c r="D415" i="17"/>
  <c r="F415" i="17"/>
  <c r="D416" i="17"/>
  <c r="F416" i="17"/>
  <c r="D417" i="17"/>
  <c r="F417" i="17"/>
  <c r="D418" i="17"/>
  <c r="F418" i="17"/>
  <c r="D419" i="17"/>
  <c r="F419" i="17"/>
  <c r="D420" i="17"/>
  <c r="F420" i="17"/>
  <c r="D421" i="17"/>
  <c r="F421" i="17"/>
  <c r="D422" i="17"/>
  <c r="F422" i="17"/>
  <c r="D423" i="17"/>
  <c r="F423" i="17"/>
  <c r="D424" i="17"/>
  <c r="F424" i="17"/>
  <c r="D425" i="17"/>
  <c r="F425" i="17"/>
  <c r="D426" i="17"/>
  <c r="F426" i="17"/>
  <c r="D427" i="17"/>
  <c r="F427" i="17"/>
  <c r="D428" i="17"/>
  <c r="F428" i="17"/>
  <c r="D429" i="17"/>
  <c r="F429" i="17"/>
  <c r="D430" i="17"/>
  <c r="F430" i="17"/>
  <c r="D431" i="17"/>
  <c r="F431" i="17"/>
  <c r="D432" i="17"/>
  <c r="F432" i="17"/>
  <c r="D433" i="17"/>
  <c r="F433" i="17"/>
  <c r="D434" i="17"/>
  <c r="F434" i="17"/>
  <c r="D435" i="17"/>
  <c r="F435" i="17"/>
  <c r="D436" i="17"/>
  <c r="F436" i="17"/>
  <c r="D437" i="17"/>
  <c r="F437" i="17"/>
  <c r="D438" i="17"/>
  <c r="F438" i="17"/>
  <c r="D439" i="17"/>
  <c r="F439" i="17"/>
  <c r="D440" i="17"/>
  <c r="F440" i="17"/>
  <c r="D441" i="17"/>
  <c r="F441" i="17"/>
  <c r="D442" i="17"/>
  <c r="F442" i="17"/>
  <c r="D443" i="17"/>
  <c r="F443" i="17"/>
  <c r="D444" i="17"/>
  <c r="F444" i="17"/>
  <c r="D445" i="17"/>
  <c r="F445" i="17"/>
  <c r="D446" i="17"/>
  <c r="F446" i="17"/>
  <c r="D447" i="17"/>
  <c r="F447" i="17"/>
  <c r="D448" i="17"/>
  <c r="F448" i="17"/>
  <c r="D449" i="17"/>
  <c r="F449" i="17"/>
  <c r="D450" i="17"/>
  <c r="F450" i="17"/>
  <c r="D451" i="17"/>
  <c r="F451" i="17"/>
  <c r="D452" i="17"/>
  <c r="F452" i="17"/>
  <c r="D453" i="17"/>
  <c r="F453" i="17"/>
  <c r="D454" i="17"/>
  <c r="F454" i="17"/>
  <c r="D455" i="17"/>
  <c r="F455" i="17"/>
  <c r="D456" i="17"/>
  <c r="F456" i="17"/>
  <c r="D457" i="17"/>
  <c r="F457" i="17"/>
  <c r="D458" i="17"/>
  <c r="F458" i="17"/>
  <c r="D459" i="17"/>
  <c r="F459" i="17"/>
  <c r="D460" i="17"/>
  <c r="F460" i="17"/>
  <c r="D461" i="17"/>
  <c r="F461" i="17"/>
  <c r="D462" i="17"/>
  <c r="F462" i="17"/>
  <c r="D463" i="17"/>
  <c r="F463" i="17"/>
  <c r="D464" i="17"/>
  <c r="F464" i="17"/>
  <c r="D465" i="17"/>
  <c r="F465" i="17"/>
  <c r="D466" i="17"/>
  <c r="F466" i="17"/>
  <c r="D467" i="17"/>
  <c r="F467" i="17"/>
  <c r="D468" i="17"/>
  <c r="F468" i="17"/>
  <c r="D469" i="17"/>
  <c r="F469" i="17"/>
  <c r="D470" i="17"/>
  <c r="F470" i="17"/>
  <c r="D471" i="17"/>
  <c r="F471" i="17"/>
  <c r="D472" i="17"/>
  <c r="F472" i="17"/>
  <c r="D473" i="17"/>
  <c r="F473" i="17"/>
  <c r="D474" i="17"/>
  <c r="F474" i="17"/>
  <c r="D475" i="17"/>
  <c r="F475" i="17"/>
  <c r="D476" i="17"/>
  <c r="F476" i="17"/>
  <c r="D477" i="17"/>
  <c r="F477" i="17"/>
  <c r="D478" i="17"/>
  <c r="F478" i="17"/>
  <c r="D479" i="17"/>
  <c r="F479" i="17"/>
  <c r="D480" i="17"/>
  <c r="F480" i="17"/>
  <c r="D481" i="17"/>
  <c r="F481" i="17"/>
  <c r="D482" i="17"/>
  <c r="F482" i="17"/>
  <c r="D483" i="17"/>
  <c r="F483" i="17"/>
  <c r="D484" i="17"/>
  <c r="F484" i="17"/>
  <c r="D485" i="17"/>
  <c r="F485" i="17"/>
  <c r="D486" i="17"/>
  <c r="F486" i="17"/>
  <c r="D487" i="17"/>
  <c r="F487" i="17"/>
  <c r="D488" i="17"/>
  <c r="F488" i="17"/>
  <c r="D489" i="17"/>
  <c r="F489" i="17"/>
  <c r="D490" i="17"/>
  <c r="F490" i="17"/>
  <c r="D491" i="17"/>
  <c r="F491" i="17"/>
  <c r="D492" i="17"/>
  <c r="F492" i="17"/>
  <c r="D493" i="17"/>
  <c r="F493" i="17"/>
  <c r="D494" i="17"/>
  <c r="F494" i="17"/>
  <c r="D495" i="17"/>
  <c r="F495" i="17"/>
  <c r="D496" i="17"/>
  <c r="F496" i="17"/>
  <c r="D497" i="17"/>
  <c r="F497" i="17"/>
  <c r="D498" i="17"/>
  <c r="F498" i="17"/>
  <c r="D499" i="17"/>
  <c r="F499" i="17"/>
  <c r="D500" i="17"/>
  <c r="F500" i="17"/>
  <c r="D501" i="17"/>
  <c r="F501" i="17"/>
  <c r="L136" i="12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O108" i="14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P100" i="14" l="1"/>
  <c r="P92" i="14"/>
  <c r="P106" i="14"/>
  <c r="O106" i="14"/>
  <c r="O100" i="14"/>
  <c r="O92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K100" i="14" l="1"/>
  <c r="P91" i="14"/>
  <c r="G92" i="14"/>
  <c r="G100" i="14"/>
  <c r="G106" i="14"/>
  <c r="K92" i="14"/>
  <c r="K106" i="14"/>
  <c r="O91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O88" i="14"/>
  <c r="O87" i="14"/>
  <c r="O85" i="14"/>
  <c r="O84" i="14"/>
  <c r="O83" i="14"/>
  <c r="O82" i="14"/>
  <c r="O81" i="14"/>
  <c r="O79" i="14"/>
  <c r="O78" i="14"/>
  <c r="O77" i="14"/>
  <c r="O76" i="14"/>
  <c r="O75" i="14"/>
  <c r="O74" i="14"/>
  <c r="O7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9" i="14" s="1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51" i="14" s="1"/>
  <c r="O50" i="14"/>
  <c r="O49" i="14" s="1"/>
  <c r="O48" i="14"/>
  <c r="O47" i="14"/>
  <c r="O46" i="14"/>
  <c r="O45" i="14"/>
  <c r="O44" i="14"/>
  <c r="O43" i="14"/>
  <c r="O41" i="14"/>
  <c r="O40" i="14"/>
  <c r="O37" i="14"/>
  <c r="O36" i="14"/>
  <c r="O35" i="14"/>
  <c r="O34" i="14"/>
  <c r="O32" i="14"/>
  <c r="O31" i="14"/>
  <c r="O29" i="14"/>
  <c r="O28" i="14"/>
  <c r="O27" i="14"/>
  <c r="O26" i="14"/>
  <c r="O25" i="14"/>
  <c r="O24" i="14"/>
  <c r="O22" i="14"/>
  <c r="O21" i="14"/>
  <c r="O20" i="14"/>
  <c r="O18" i="14"/>
  <c r="O17" i="14"/>
  <c r="O16" i="14"/>
  <c r="O14" i="14"/>
  <c r="O13" i="14"/>
  <c r="O12" i="14"/>
  <c r="O11" i="14"/>
  <c r="O10" i="14"/>
  <c r="O8" i="14"/>
  <c r="O7" i="14"/>
  <c r="O6" i="14"/>
  <c r="P51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9" i="14" s="1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K51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1" i="14" s="1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G91" i="14" l="1"/>
  <c r="G89" i="13" s="1"/>
  <c r="G15" i="14"/>
  <c r="G23" i="14"/>
  <c r="K9" i="14"/>
  <c r="K42" i="14"/>
  <c r="G9" i="14"/>
  <c r="G19" i="14"/>
  <c r="K15" i="14"/>
  <c r="K23" i="14"/>
  <c r="P42" i="14"/>
  <c r="K91" i="14"/>
  <c r="K5" i="14"/>
  <c r="K19" i="14"/>
  <c r="K30" i="14"/>
  <c r="K33" i="14"/>
  <c r="K39" i="14"/>
  <c r="K53" i="14"/>
  <c r="K59" i="14"/>
  <c r="K63" i="14"/>
  <c r="G80" i="14"/>
  <c r="O80" i="14"/>
  <c r="P72" i="14"/>
  <c r="P80" i="14"/>
  <c r="P86" i="14"/>
  <c r="O5" i="14"/>
  <c r="O9" i="14"/>
  <c r="O15" i="14"/>
  <c r="O19" i="14"/>
  <c r="O23" i="14"/>
  <c r="O30" i="14"/>
  <c r="O33" i="14"/>
  <c r="O39" i="14"/>
  <c r="O42" i="14"/>
  <c r="O53" i="14"/>
  <c r="O59" i="14"/>
  <c r="O63" i="14"/>
  <c r="P5" i="14"/>
  <c r="P9" i="14"/>
  <c r="P15" i="14"/>
  <c r="P19" i="14"/>
  <c r="P23" i="14"/>
  <c r="P30" i="14"/>
  <c r="P33" i="14"/>
  <c r="P39" i="14"/>
  <c r="P53" i="14"/>
  <c r="P59" i="14"/>
  <c r="P63" i="14"/>
  <c r="G42" i="14"/>
  <c r="G5" i="14"/>
  <c r="G30" i="14"/>
  <c r="G33" i="14"/>
  <c r="G39" i="14"/>
  <c r="G53" i="14"/>
  <c r="G59" i="14"/>
  <c r="G63" i="14"/>
  <c r="K72" i="14"/>
  <c r="K80" i="14"/>
  <c r="K86" i="14"/>
  <c r="G72" i="14"/>
  <c r="G86" i="14"/>
  <c r="O72" i="14"/>
  <c r="O86" i="14"/>
  <c r="B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5" i="25"/>
  <c r="B126" i="25"/>
  <c r="B127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7" i="25"/>
  <c r="B168" i="25"/>
  <c r="B169" i="25"/>
  <c r="B170" i="25"/>
  <c r="B171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09" i="25"/>
  <c r="B210" i="25"/>
  <c r="B211" i="25"/>
  <c r="B212" i="25"/>
  <c r="B213" i="25"/>
  <c r="B214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1" i="25"/>
  <c r="B252" i="25"/>
  <c r="B253" i="25"/>
  <c r="B254" i="25"/>
  <c r="B255" i="25"/>
  <c r="B256" i="25"/>
  <c r="B257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3" i="25"/>
  <c r="B294" i="25"/>
  <c r="B295" i="25"/>
  <c r="B296" i="25"/>
  <c r="B297" i="25"/>
  <c r="B298" i="25"/>
  <c r="B299" i="25"/>
  <c r="B300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5" i="25"/>
  <c r="B336" i="25"/>
  <c r="B337" i="25"/>
  <c r="B338" i="25"/>
  <c r="B339" i="25"/>
  <c r="B340" i="25"/>
  <c r="B341" i="25"/>
  <c r="B342" i="25"/>
  <c r="B343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7" i="25"/>
  <c r="B378" i="25"/>
  <c r="B379" i="25"/>
  <c r="B380" i="25"/>
  <c r="B381" i="25"/>
  <c r="B382" i="25"/>
  <c r="B383" i="25"/>
  <c r="B384" i="25"/>
  <c r="B385" i="25"/>
  <c r="B386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19" i="25"/>
  <c r="B420" i="25"/>
  <c r="B421" i="25"/>
  <c r="B422" i="25"/>
  <c r="B423" i="25"/>
  <c r="B424" i="25"/>
  <c r="B425" i="25"/>
  <c r="B426" i="25"/>
  <c r="B427" i="25"/>
  <c r="B428" i="25"/>
  <c r="B429" i="25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55" i="25"/>
  <c r="B456" i="25"/>
  <c r="B457" i="25"/>
  <c r="B458" i="25"/>
  <c r="B459" i="25"/>
  <c r="B460" i="25"/>
  <c r="B461" i="25"/>
  <c r="B462" i="25"/>
  <c r="B463" i="25"/>
  <c r="B464" i="25"/>
  <c r="B465" i="25"/>
  <c r="B466" i="25"/>
  <c r="B467" i="25"/>
  <c r="B468" i="25"/>
  <c r="B469" i="25"/>
  <c r="B470" i="25"/>
  <c r="B471" i="25"/>
  <c r="B472" i="25"/>
  <c r="B473" i="25"/>
  <c r="B474" i="25"/>
  <c r="B475" i="25"/>
  <c r="B476" i="25"/>
  <c r="B477" i="25"/>
  <c r="B478" i="25"/>
  <c r="B479" i="25"/>
  <c r="B480" i="25"/>
  <c r="B481" i="25"/>
  <c r="B482" i="25"/>
  <c r="B483" i="25"/>
  <c r="B484" i="25"/>
  <c r="B485" i="25"/>
  <c r="B486" i="25"/>
  <c r="B487" i="25"/>
  <c r="B488" i="25"/>
  <c r="B489" i="25"/>
  <c r="B490" i="25"/>
  <c r="B491" i="25"/>
  <c r="B492" i="25"/>
  <c r="B493" i="25"/>
  <c r="B494" i="25"/>
  <c r="B495" i="25"/>
  <c r="B496" i="25"/>
  <c r="B497" i="25"/>
  <c r="B498" i="25"/>
  <c r="B499" i="25"/>
  <c r="B500" i="25"/>
  <c r="B501" i="25"/>
  <c r="B3" i="25"/>
  <c r="C47" i="13"/>
  <c r="C7" i="13"/>
  <c r="D3" i="17"/>
  <c r="F3" i="17"/>
  <c r="P85" i="13"/>
  <c r="P45" i="13"/>
  <c r="O89" i="13"/>
  <c r="O85" i="13"/>
  <c r="O45" i="13"/>
  <c r="K89" i="13"/>
  <c r="K85" i="13"/>
  <c r="K45" i="13"/>
  <c r="G85" i="13"/>
  <c r="G45" i="13"/>
  <c r="G58" i="14" l="1"/>
  <c r="K38" i="14"/>
  <c r="K58" i="14"/>
  <c r="O38" i="14"/>
  <c r="K4" i="14"/>
  <c r="P38" i="14"/>
  <c r="P4" i="14"/>
  <c r="G4" i="14"/>
  <c r="O58" i="14"/>
  <c r="P58" i="14"/>
  <c r="O4" i="14"/>
  <c r="P71" i="14"/>
  <c r="G71" i="14"/>
  <c r="G49" i="13" s="1"/>
  <c r="K71" i="14"/>
  <c r="K49" i="13" s="1"/>
  <c r="G38" i="14"/>
  <c r="O71" i="14"/>
  <c r="O49" i="13" s="1"/>
  <c r="L42" i="4"/>
  <c r="K42" i="4"/>
  <c r="C87" i="13"/>
  <c r="U85" i="13"/>
  <c r="U45" i="13"/>
  <c r="C4" i="4"/>
  <c r="D4" i="4"/>
  <c r="F4" i="4"/>
  <c r="C5" i="4"/>
  <c r="D5" i="4"/>
  <c r="F5" i="4"/>
  <c r="C6" i="4"/>
  <c r="D6" i="4"/>
  <c r="F6" i="4"/>
  <c r="C7" i="4"/>
  <c r="D7" i="4"/>
  <c r="F7" i="4"/>
  <c r="C8" i="4"/>
  <c r="D8" i="4"/>
  <c r="F8" i="4"/>
  <c r="C9" i="4"/>
  <c r="D9" i="4"/>
  <c r="F9" i="4"/>
  <c r="C10" i="4"/>
  <c r="D10" i="4"/>
  <c r="F10" i="4"/>
  <c r="C11" i="4"/>
  <c r="D11" i="4"/>
  <c r="F11" i="4"/>
  <c r="C12" i="4"/>
  <c r="D12" i="4"/>
  <c r="F12" i="4"/>
  <c r="C13" i="4"/>
  <c r="D13" i="4"/>
  <c r="F13" i="4"/>
  <c r="C14" i="4"/>
  <c r="D14" i="4"/>
  <c r="F14" i="4"/>
  <c r="C15" i="4"/>
  <c r="D15" i="4"/>
  <c r="F15" i="4"/>
  <c r="C16" i="4"/>
  <c r="D16" i="4"/>
  <c r="F16" i="4"/>
  <c r="C17" i="4"/>
  <c r="D17" i="4"/>
  <c r="F17" i="4"/>
  <c r="C18" i="4"/>
  <c r="D18" i="4"/>
  <c r="F18" i="4"/>
  <c r="C19" i="4"/>
  <c r="D19" i="4"/>
  <c r="F19" i="4"/>
  <c r="C20" i="4"/>
  <c r="D20" i="4"/>
  <c r="F20" i="4"/>
  <c r="C21" i="4"/>
  <c r="D21" i="4"/>
  <c r="F21" i="4"/>
  <c r="C22" i="4"/>
  <c r="D22" i="4"/>
  <c r="F22" i="4"/>
  <c r="C23" i="4"/>
  <c r="D23" i="4"/>
  <c r="F23" i="4"/>
  <c r="C24" i="4"/>
  <c r="D24" i="4"/>
  <c r="F24" i="4"/>
  <c r="C25" i="4"/>
  <c r="D25" i="4"/>
  <c r="F25" i="4"/>
  <c r="C26" i="4"/>
  <c r="D26" i="4"/>
  <c r="F26" i="4"/>
  <c r="C27" i="4"/>
  <c r="D27" i="4"/>
  <c r="F27" i="4"/>
  <c r="C28" i="4"/>
  <c r="D28" i="4"/>
  <c r="F28" i="4"/>
  <c r="C29" i="4"/>
  <c r="D29" i="4"/>
  <c r="F29" i="4"/>
  <c r="C30" i="4"/>
  <c r="D30" i="4"/>
  <c r="F30" i="4"/>
  <c r="C31" i="4"/>
  <c r="D31" i="4"/>
  <c r="F31" i="4"/>
  <c r="C32" i="4"/>
  <c r="D32" i="4"/>
  <c r="F32" i="4"/>
  <c r="C33" i="4"/>
  <c r="D33" i="4"/>
  <c r="F33" i="4"/>
  <c r="C34" i="4"/>
  <c r="D34" i="4"/>
  <c r="F34" i="4"/>
  <c r="C35" i="4"/>
  <c r="D35" i="4"/>
  <c r="F35" i="4"/>
  <c r="C36" i="4"/>
  <c r="D36" i="4"/>
  <c r="F36" i="4"/>
  <c r="C37" i="4"/>
  <c r="D37" i="4"/>
  <c r="F37" i="4"/>
  <c r="C38" i="4"/>
  <c r="D38" i="4"/>
  <c r="F38" i="4"/>
  <c r="C39" i="4"/>
  <c r="D39" i="4"/>
  <c r="F39" i="4"/>
  <c r="C40" i="4"/>
  <c r="D40" i="4"/>
  <c r="F40" i="4"/>
  <c r="C41" i="4"/>
  <c r="D41" i="4"/>
  <c r="F41" i="4"/>
  <c r="C42" i="4"/>
  <c r="D42" i="4"/>
  <c r="F42" i="4"/>
  <c r="C43" i="4"/>
  <c r="D43" i="4"/>
  <c r="F43" i="4"/>
  <c r="C44" i="4"/>
  <c r="D44" i="4"/>
  <c r="F44" i="4"/>
  <c r="C45" i="4"/>
  <c r="D45" i="4"/>
  <c r="F45" i="4"/>
  <c r="C46" i="4"/>
  <c r="D46" i="4"/>
  <c r="F46" i="4"/>
  <c r="C47" i="4"/>
  <c r="D47" i="4"/>
  <c r="F47" i="4"/>
  <c r="C48" i="4"/>
  <c r="D48" i="4"/>
  <c r="F48" i="4"/>
  <c r="C49" i="4"/>
  <c r="D49" i="4"/>
  <c r="F49" i="4"/>
  <c r="C50" i="4"/>
  <c r="D50" i="4"/>
  <c r="F50" i="4"/>
  <c r="C51" i="4"/>
  <c r="D51" i="4"/>
  <c r="F51" i="4"/>
  <c r="C52" i="4"/>
  <c r="D52" i="4"/>
  <c r="F52" i="4"/>
  <c r="C53" i="4"/>
  <c r="D53" i="4"/>
  <c r="F53" i="4"/>
  <c r="C54" i="4"/>
  <c r="D54" i="4"/>
  <c r="F54" i="4"/>
  <c r="C55" i="4"/>
  <c r="D55" i="4"/>
  <c r="F55" i="4"/>
  <c r="C56" i="4"/>
  <c r="D56" i="4"/>
  <c r="F56" i="4"/>
  <c r="C57" i="4"/>
  <c r="D57" i="4"/>
  <c r="F57" i="4"/>
  <c r="C58" i="4"/>
  <c r="D58" i="4"/>
  <c r="F58" i="4"/>
  <c r="C59" i="4"/>
  <c r="D59" i="4"/>
  <c r="F59" i="4"/>
  <c r="C60" i="4"/>
  <c r="D60" i="4"/>
  <c r="F60" i="4"/>
  <c r="C61" i="4"/>
  <c r="D61" i="4"/>
  <c r="F61" i="4"/>
  <c r="C62" i="4"/>
  <c r="D62" i="4"/>
  <c r="F62" i="4"/>
  <c r="C63" i="4"/>
  <c r="D63" i="4"/>
  <c r="F63" i="4"/>
  <c r="C64" i="4"/>
  <c r="D64" i="4"/>
  <c r="F64" i="4"/>
  <c r="C65" i="4"/>
  <c r="D65" i="4"/>
  <c r="F65" i="4"/>
  <c r="C66" i="4"/>
  <c r="D66" i="4"/>
  <c r="F66" i="4"/>
  <c r="C67" i="4"/>
  <c r="D67" i="4"/>
  <c r="F67" i="4"/>
  <c r="C68" i="4"/>
  <c r="D68" i="4"/>
  <c r="F68" i="4"/>
  <c r="C69" i="4"/>
  <c r="D69" i="4"/>
  <c r="F69" i="4"/>
  <c r="C70" i="4"/>
  <c r="D70" i="4"/>
  <c r="F70" i="4"/>
  <c r="C71" i="4"/>
  <c r="D71" i="4"/>
  <c r="F71" i="4"/>
  <c r="C72" i="4"/>
  <c r="D72" i="4"/>
  <c r="F72" i="4"/>
  <c r="C73" i="4"/>
  <c r="D73" i="4"/>
  <c r="F73" i="4"/>
  <c r="C74" i="4"/>
  <c r="D74" i="4"/>
  <c r="F74" i="4"/>
  <c r="C75" i="4"/>
  <c r="D75" i="4"/>
  <c r="F75" i="4"/>
  <c r="C76" i="4"/>
  <c r="D76" i="4"/>
  <c r="F76" i="4"/>
  <c r="C77" i="4"/>
  <c r="D77" i="4"/>
  <c r="F77" i="4"/>
  <c r="C78" i="4"/>
  <c r="D78" i="4"/>
  <c r="F78" i="4"/>
  <c r="C79" i="4"/>
  <c r="D79" i="4"/>
  <c r="F79" i="4"/>
  <c r="C80" i="4"/>
  <c r="D80" i="4"/>
  <c r="F80" i="4"/>
  <c r="C81" i="4"/>
  <c r="D81" i="4"/>
  <c r="F81" i="4"/>
  <c r="C82" i="4"/>
  <c r="D82" i="4"/>
  <c r="F82" i="4"/>
  <c r="C83" i="4"/>
  <c r="D83" i="4"/>
  <c r="F83" i="4"/>
  <c r="C84" i="4"/>
  <c r="D84" i="4"/>
  <c r="F84" i="4"/>
  <c r="C85" i="4"/>
  <c r="D85" i="4"/>
  <c r="F85" i="4"/>
  <c r="C86" i="4"/>
  <c r="D86" i="4"/>
  <c r="F86" i="4"/>
  <c r="C87" i="4"/>
  <c r="D87" i="4"/>
  <c r="F87" i="4"/>
  <c r="C88" i="4"/>
  <c r="D88" i="4"/>
  <c r="F88" i="4"/>
  <c r="C89" i="4"/>
  <c r="D89" i="4"/>
  <c r="F89" i="4"/>
  <c r="C90" i="4"/>
  <c r="D90" i="4"/>
  <c r="F90" i="4"/>
  <c r="C91" i="4"/>
  <c r="D91" i="4"/>
  <c r="F91" i="4"/>
  <c r="C92" i="4"/>
  <c r="D92" i="4"/>
  <c r="F92" i="4"/>
  <c r="C93" i="4"/>
  <c r="D93" i="4"/>
  <c r="F93" i="4"/>
  <c r="C94" i="4"/>
  <c r="D94" i="4"/>
  <c r="F94" i="4"/>
  <c r="C95" i="4"/>
  <c r="D95" i="4"/>
  <c r="F95" i="4"/>
  <c r="C96" i="4"/>
  <c r="D96" i="4"/>
  <c r="F96" i="4"/>
  <c r="C97" i="4"/>
  <c r="D97" i="4"/>
  <c r="F97" i="4"/>
  <c r="C98" i="4"/>
  <c r="D98" i="4"/>
  <c r="F98" i="4"/>
  <c r="C99" i="4"/>
  <c r="D99" i="4"/>
  <c r="F99" i="4"/>
  <c r="C100" i="4"/>
  <c r="D100" i="4"/>
  <c r="F100" i="4"/>
  <c r="C101" i="4"/>
  <c r="D101" i="4"/>
  <c r="F101" i="4"/>
  <c r="C102" i="4"/>
  <c r="D102" i="4"/>
  <c r="F102" i="4"/>
  <c r="C103" i="4"/>
  <c r="D103" i="4"/>
  <c r="F103" i="4"/>
  <c r="C104" i="4"/>
  <c r="D104" i="4"/>
  <c r="F104" i="4"/>
  <c r="C105" i="4"/>
  <c r="D105" i="4"/>
  <c r="F105" i="4"/>
  <c r="C106" i="4"/>
  <c r="D106" i="4"/>
  <c r="F106" i="4"/>
  <c r="C107" i="4"/>
  <c r="D107" i="4"/>
  <c r="F107" i="4"/>
  <c r="C108" i="4"/>
  <c r="D108" i="4"/>
  <c r="F108" i="4"/>
  <c r="C109" i="4"/>
  <c r="D109" i="4"/>
  <c r="F109" i="4"/>
  <c r="C110" i="4"/>
  <c r="D110" i="4"/>
  <c r="F110" i="4"/>
  <c r="C111" i="4"/>
  <c r="D111" i="4"/>
  <c r="F111" i="4"/>
  <c r="C112" i="4"/>
  <c r="D112" i="4"/>
  <c r="F112" i="4"/>
  <c r="C113" i="4"/>
  <c r="D113" i="4"/>
  <c r="F113" i="4"/>
  <c r="C114" i="4"/>
  <c r="D114" i="4"/>
  <c r="F114" i="4"/>
  <c r="C115" i="4"/>
  <c r="D115" i="4"/>
  <c r="F115" i="4"/>
  <c r="C116" i="4"/>
  <c r="D116" i="4"/>
  <c r="F116" i="4"/>
  <c r="C117" i="4"/>
  <c r="D117" i="4"/>
  <c r="F117" i="4"/>
  <c r="C118" i="4"/>
  <c r="D118" i="4"/>
  <c r="F118" i="4"/>
  <c r="C119" i="4"/>
  <c r="D119" i="4"/>
  <c r="F119" i="4"/>
  <c r="C120" i="4"/>
  <c r="D120" i="4"/>
  <c r="F120" i="4"/>
  <c r="C121" i="4"/>
  <c r="D121" i="4"/>
  <c r="F121" i="4"/>
  <c r="C122" i="4"/>
  <c r="D122" i="4"/>
  <c r="F122" i="4"/>
  <c r="C123" i="4"/>
  <c r="D123" i="4"/>
  <c r="F123" i="4"/>
  <c r="C124" i="4"/>
  <c r="D124" i="4"/>
  <c r="F124" i="4"/>
  <c r="C125" i="4"/>
  <c r="D125" i="4"/>
  <c r="F125" i="4"/>
  <c r="C126" i="4"/>
  <c r="D126" i="4"/>
  <c r="F126" i="4"/>
  <c r="C127" i="4"/>
  <c r="D127" i="4"/>
  <c r="F127" i="4"/>
  <c r="C128" i="4"/>
  <c r="D128" i="4"/>
  <c r="F128" i="4"/>
  <c r="C129" i="4"/>
  <c r="D129" i="4"/>
  <c r="F129" i="4"/>
  <c r="C130" i="4"/>
  <c r="D130" i="4"/>
  <c r="F130" i="4"/>
  <c r="C131" i="4"/>
  <c r="D131" i="4"/>
  <c r="F131" i="4"/>
  <c r="C132" i="4"/>
  <c r="D132" i="4"/>
  <c r="F132" i="4"/>
  <c r="C133" i="4"/>
  <c r="D133" i="4"/>
  <c r="F133" i="4"/>
  <c r="C134" i="4"/>
  <c r="D134" i="4"/>
  <c r="F134" i="4"/>
  <c r="C135" i="4"/>
  <c r="D135" i="4"/>
  <c r="F135" i="4"/>
  <c r="C136" i="4"/>
  <c r="D136" i="4"/>
  <c r="F136" i="4"/>
  <c r="C137" i="4"/>
  <c r="D137" i="4"/>
  <c r="F137" i="4"/>
  <c r="C138" i="4"/>
  <c r="D138" i="4"/>
  <c r="F138" i="4"/>
  <c r="C139" i="4"/>
  <c r="D139" i="4"/>
  <c r="F139" i="4"/>
  <c r="C140" i="4"/>
  <c r="D140" i="4"/>
  <c r="F140" i="4"/>
  <c r="C141" i="4"/>
  <c r="D141" i="4"/>
  <c r="F141" i="4"/>
  <c r="C142" i="4"/>
  <c r="D142" i="4"/>
  <c r="F142" i="4"/>
  <c r="C143" i="4"/>
  <c r="D143" i="4"/>
  <c r="F143" i="4"/>
  <c r="C144" i="4"/>
  <c r="D144" i="4"/>
  <c r="F144" i="4"/>
  <c r="C145" i="4"/>
  <c r="D145" i="4"/>
  <c r="F145" i="4"/>
  <c r="C146" i="4"/>
  <c r="D146" i="4"/>
  <c r="F146" i="4"/>
  <c r="C147" i="4"/>
  <c r="D147" i="4"/>
  <c r="F147" i="4"/>
  <c r="C148" i="4"/>
  <c r="D148" i="4"/>
  <c r="F148" i="4"/>
  <c r="C149" i="4"/>
  <c r="D149" i="4"/>
  <c r="F149" i="4"/>
  <c r="C150" i="4"/>
  <c r="D150" i="4"/>
  <c r="F150" i="4"/>
  <c r="C151" i="4"/>
  <c r="D151" i="4"/>
  <c r="F151" i="4"/>
  <c r="C152" i="4"/>
  <c r="D152" i="4"/>
  <c r="F152" i="4"/>
  <c r="C153" i="4"/>
  <c r="D153" i="4"/>
  <c r="F153" i="4"/>
  <c r="C154" i="4"/>
  <c r="D154" i="4"/>
  <c r="F154" i="4"/>
  <c r="C155" i="4"/>
  <c r="D155" i="4"/>
  <c r="F155" i="4"/>
  <c r="C156" i="4"/>
  <c r="D156" i="4"/>
  <c r="F156" i="4"/>
  <c r="C157" i="4"/>
  <c r="D157" i="4"/>
  <c r="F157" i="4"/>
  <c r="C158" i="4"/>
  <c r="D158" i="4"/>
  <c r="F158" i="4"/>
  <c r="C159" i="4"/>
  <c r="D159" i="4"/>
  <c r="F159" i="4"/>
  <c r="C160" i="4"/>
  <c r="D160" i="4"/>
  <c r="F160" i="4"/>
  <c r="C161" i="4"/>
  <c r="D161" i="4"/>
  <c r="F161" i="4"/>
  <c r="C162" i="4"/>
  <c r="D162" i="4"/>
  <c r="F162" i="4"/>
  <c r="C163" i="4"/>
  <c r="D163" i="4"/>
  <c r="F163" i="4"/>
  <c r="C164" i="4"/>
  <c r="D164" i="4"/>
  <c r="F164" i="4"/>
  <c r="C165" i="4"/>
  <c r="D165" i="4"/>
  <c r="F165" i="4"/>
  <c r="C166" i="4"/>
  <c r="D166" i="4"/>
  <c r="F166" i="4"/>
  <c r="C167" i="4"/>
  <c r="D167" i="4"/>
  <c r="F167" i="4"/>
  <c r="C168" i="4"/>
  <c r="D168" i="4"/>
  <c r="F168" i="4"/>
  <c r="C169" i="4"/>
  <c r="D169" i="4"/>
  <c r="F169" i="4"/>
  <c r="C170" i="4"/>
  <c r="D170" i="4"/>
  <c r="F170" i="4"/>
  <c r="C171" i="4"/>
  <c r="D171" i="4"/>
  <c r="F171" i="4"/>
  <c r="C172" i="4"/>
  <c r="D172" i="4"/>
  <c r="F172" i="4"/>
  <c r="C173" i="4"/>
  <c r="D173" i="4"/>
  <c r="F173" i="4"/>
  <c r="C174" i="4"/>
  <c r="D174" i="4"/>
  <c r="F174" i="4"/>
  <c r="C175" i="4"/>
  <c r="D175" i="4"/>
  <c r="F175" i="4"/>
  <c r="C176" i="4"/>
  <c r="D176" i="4"/>
  <c r="F176" i="4"/>
  <c r="C177" i="4"/>
  <c r="D177" i="4"/>
  <c r="F177" i="4"/>
  <c r="C178" i="4"/>
  <c r="D178" i="4"/>
  <c r="F178" i="4"/>
  <c r="C179" i="4"/>
  <c r="D179" i="4"/>
  <c r="F179" i="4"/>
  <c r="C180" i="4"/>
  <c r="D180" i="4"/>
  <c r="F180" i="4"/>
  <c r="C181" i="4"/>
  <c r="D181" i="4"/>
  <c r="F181" i="4"/>
  <c r="C182" i="4"/>
  <c r="D182" i="4"/>
  <c r="F182" i="4"/>
  <c r="C183" i="4"/>
  <c r="D183" i="4"/>
  <c r="F183" i="4"/>
  <c r="C184" i="4"/>
  <c r="D184" i="4"/>
  <c r="F184" i="4"/>
  <c r="C185" i="4"/>
  <c r="D185" i="4"/>
  <c r="F185" i="4"/>
  <c r="C186" i="4"/>
  <c r="D186" i="4"/>
  <c r="F186" i="4"/>
  <c r="C187" i="4"/>
  <c r="D187" i="4"/>
  <c r="F187" i="4"/>
  <c r="C188" i="4"/>
  <c r="D188" i="4"/>
  <c r="F188" i="4"/>
  <c r="C189" i="4"/>
  <c r="D189" i="4"/>
  <c r="F189" i="4"/>
  <c r="C190" i="4"/>
  <c r="D190" i="4"/>
  <c r="F190" i="4"/>
  <c r="C191" i="4"/>
  <c r="D191" i="4"/>
  <c r="F191" i="4"/>
  <c r="C192" i="4"/>
  <c r="D192" i="4"/>
  <c r="F192" i="4"/>
  <c r="C193" i="4"/>
  <c r="D193" i="4"/>
  <c r="F193" i="4"/>
  <c r="C194" i="4"/>
  <c r="D194" i="4"/>
  <c r="F194" i="4"/>
  <c r="C195" i="4"/>
  <c r="D195" i="4"/>
  <c r="F195" i="4"/>
  <c r="C196" i="4"/>
  <c r="D196" i="4"/>
  <c r="F196" i="4"/>
  <c r="C197" i="4"/>
  <c r="D197" i="4"/>
  <c r="F197" i="4"/>
  <c r="C198" i="4"/>
  <c r="D198" i="4"/>
  <c r="F198" i="4"/>
  <c r="C199" i="4"/>
  <c r="D199" i="4"/>
  <c r="F199" i="4"/>
  <c r="C200" i="4"/>
  <c r="D200" i="4"/>
  <c r="F200" i="4"/>
  <c r="C201" i="4"/>
  <c r="D201" i="4"/>
  <c r="F201" i="4"/>
  <c r="C202" i="4"/>
  <c r="D202" i="4"/>
  <c r="F202" i="4"/>
  <c r="C203" i="4"/>
  <c r="D203" i="4"/>
  <c r="F203" i="4"/>
  <c r="C204" i="4"/>
  <c r="D204" i="4"/>
  <c r="F204" i="4"/>
  <c r="C205" i="4"/>
  <c r="D205" i="4"/>
  <c r="F205" i="4"/>
  <c r="C206" i="4"/>
  <c r="D206" i="4"/>
  <c r="F206" i="4"/>
  <c r="C207" i="4"/>
  <c r="D207" i="4"/>
  <c r="F207" i="4"/>
  <c r="C208" i="4"/>
  <c r="D208" i="4"/>
  <c r="F208" i="4"/>
  <c r="C209" i="4"/>
  <c r="D209" i="4"/>
  <c r="F209" i="4"/>
  <c r="C210" i="4"/>
  <c r="D210" i="4"/>
  <c r="F210" i="4"/>
  <c r="C211" i="4"/>
  <c r="D211" i="4"/>
  <c r="F211" i="4"/>
  <c r="C212" i="4"/>
  <c r="D212" i="4"/>
  <c r="F212" i="4"/>
  <c r="C213" i="4"/>
  <c r="D213" i="4"/>
  <c r="F213" i="4"/>
  <c r="C214" i="4"/>
  <c r="D214" i="4"/>
  <c r="F214" i="4"/>
  <c r="C215" i="4"/>
  <c r="D215" i="4"/>
  <c r="F215" i="4"/>
  <c r="C216" i="4"/>
  <c r="D216" i="4"/>
  <c r="F216" i="4"/>
  <c r="C217" i="4"/>
  <c r="D217" i="4"/>
  <c r="F217" i="4"/>
  <c r="C218" i="4"/>
  <c r="D218" i="4"/>
  <c r="F218" i="4"/>
  <c r="C219" i="4"/>
  <c r="D219" i="4"/>
  <c r="F219" i="4"/>
  <c r="C220" i="4"/>
  <c r="D220" i="4"/>
  <c r="F220" i="4"/>
  <c r="C221" i="4"/>
  <c r="D221" i="4"/>
  <c r="F221" i="4"/>
  <c r="C222" i="4"/>
  <c r="D222" i="4"/>
  <c r="F222" i="4"/>
  <c r="C223" i="4"/>
  <c r="D223" i="4"/>
  <c r="F223" i="4"/>
  <c r="C224" i="4"/>
  <c r="D224" i="4"/>
  <c r="F224" i="4"/>
  <c r="C225" i="4"/>
  <c r="D225" i="4"/>
  <c r="F225" i="4"/>
  <c r="C226" i="4"/>
  <c r="D226" i="4"/>
  <c r="F226" i="4"/>
  <c r="C227" i="4"/>
  <c r="D227" i="4"/>
  <c r="F227" i="4"/>
  <c r="C228" i="4"/>
  <c r="D228" i="4"/>
  <c r="F228" i="4"/>
  <c r="C229" i="4"/>
  <c r="D229" i="4"/>
  <c r="F229" i="4"/>
  <c r="C230" i="4"/>
  <c r="D230" i="4"/>
  <c r="F230" i="4"/>
  <c r="C231" i="4"/>
  <c r="D231" i="4"/>
  <c r="F231" i="4"/>
  <c r="C232" i="4"/>
  <c r="D232" i="4"/>
  <c r="F232" i="4"/>
  <c r="C233" i="4"/>
  <c r="D233" i="4"/>
  <c r="F233" i="4"/>
  <c r="C234" i="4"/>
  <c r="D234" i="4"/>
  <c r="F234" i="4"/>
  <c r="C235" i="4"/>
  <c r="D235" i="4"/>
  <c r="F235" i="4"/>
  <c r="C236" i="4"/>
  <c r="D236" i="4"/>
  <c r="F236" i="4"/>
  <c r="C237" i="4"/>
  <c r="D237" i="4"/>
  <c r="F237" i="4"/>
  <c r="C238" i="4"/>
  <c r="D238" i="4"/>
  <c r="F238" i="4"/>
  <c r="C239" i="4"/>
  <c r="D239" i="4"/>
  <c r="F239" i="4"/>
  <c r="C240" i="4"/>
  <c r="D240" i="4"/>
  <c r="F240" i="4"/>
  <c r="C241" i="4"/>
  <c r="D241" i="4"/>
  <c r="F241" i="4"/>
  <c r="C242" i="4"/>
  <c r="D242" i="4"/>
  <c r="F242" i="4"/>
  <c r="C243" i="4"/>
  <c r="D243" i="4"/>
  <c r="F243" i="4"/>
  <c r="C244" i="4"/>
  <c r="D244" i="4"/>
  <c r="F244" i="4"/>
  <c r="C245" i="4"/>
  <c r="D245" i="4"/>
  <c r="F245" i="4"/>
  <c r="C246" i="4"/>
  <c r="D246" i="4"/>
  <c r="F246" i="4"/>
  <c r="C247" i="4"/>
  <c r="D247" i="4"/>
  <c r="F247" i="4"/>
  <c r="C248" i="4"/>
  <c r="D248" i="4"/>
  <c r="F248" i="4"/>
  <c r="C249" i="4"/>
  <c r="D249" i="4"/>
  <c r="F249" i="4"/>
  <c r="C250" i="4"/>
  <c r="D250" i="4"/>
  <c r="F250" i="4"/>
  <c r="C251" i="4"/>
  <c r="D251" i="4"/>
  <c r="F251" i="4"/>
  <c r="C252" i="4"/>
  <c r="D252" i="4"/>
  <c r="F252" i="4"/>
  <c r="C253" i="4"/>
  <c r="D253" i="4"/>
  <c r="F253" i="4"/>
  <c r="C254" i="4"/>
  <c r="D254" i="4"/>
  <c r="F254" i="4"/>
  <c r="C255" i="4"/>
  <c r="D255" i="4"/>
  <c r="F255" i="4"/>
  <c r="C256" i="4"/>
  <c r="D256" i="4"/>
  <c r="F256" i="4"/>
  <c r="C257" i="4"/>
  <c r="D257" i="4"/>
  <c r="F257" i="4"/>
  <c r="C258" i="4"/>
  <c r="D258" i="4"/>
  <c r="F258" i="4"/>
  <c r="C259" i="4"/>
  <c r="D259" i="4"/>
  <c r="F259" i="4"/>
  <c r="C260" i="4"/>
  <c r="D260" i="4"/>
  <c r="F260" i="4"/>
  <c r="C261" i="4"/>
  <c r="D261" i="4"/>
  <c r="F261" i="4"/>
  <c r="C262" i="4"/>
  <c r="D262" i="4"/>
  <c r="F262" i="4"/>
  <c r="C263" i="4"/>
  <c r="D263" i="4"/>
  <c r="F263" i="4"/>
  <c r="C264" i="4"/>
  <c r="D264" i="4"/>
  <c r="F264" i="4"/>
  <c r="C265" i="4"/>
  <c r="D265" i="4"/>
  <c r="F265" i="4"/>
  <c r="C266" i="4"/>
  <c r="D266" i="4"/>
  <c r="F266" i="4"/>
  <c r="C267" i="4"/>
  <c r="D267" i="4"/>
  <c r="F267" i="4"/>
  <c r="C268" i="4"/>
  <c r="D268" i="4"/>
  <c r="F268" i="4"/>
  <c r="C269" i="4"/>
  <c r="D269" i="4"/>
  <c r="F269" i="4"/>
  <c r="C270" i="4"/>
  <c r="D270" i="4"/>
  <c r="F270" i="4"/>
  <c r="C271" i="4"/>
  <c r="D271" i="4"/>
  <c r="F271" i="4"/>
  <c r="C272" i="4"/>
  <c r="D272" i="4"/>
  <c r="F272" i="4"/>
  <c r="C273" i="4"/>
  <c r="D273" i="4"/>
  <c r="F273" i="4"/>
  <c r="C274" i="4"/>
  <c r="D274" i="4"/>
  <c r="F274" i="4"/>
  <c r="C275" i="4"/>
  <c r="D275" i="4"/>
  <c r="F275" i="4"/>
  <c r="C276" i="4"/>
  <c r="D276" i="4"/>
  <c r="F276" i="4"/>
  <c r="C277" i="4"/>
  <c r="D277" i="4"/>
  <c r="F277" i="4"/>
  <c r="C278" i="4"/>
  <c r="D278" i="4"/>
  <c r="F278" i="4"/>
  <c r="C279" i="4"/>
  <c r="D279" i="4"/>
  <c r="F279" i="4"/>
  <c r="C280" i="4"/>
  <c r="D280" i="4"/>
  <c r="F280" i="4"/>
  <c r="C281" i="4"/>
  <c r="D281" i="4"/>
  <c r="F281" i="4"/>
  <c r="C282" i="4"/>
  <c r="D282" i="4"/>
  <c r="F282" i="4"/>
  <c r="C283" i="4"/>
  <c r="D283" i="4"/>
  <c r="F283" i="4"/>
  <c r="C284" i="4"/>
  <c r="D284" i="4"/>
  <c r="F284" i="4"/>
  <c r="C285" i="4"/>
  <c r="D285" i="4"/>
  <c r="F285" i="4"/>
  <c r="C286" i="4"/>
  <c r="D286" i="4"/>
  <c r="F286" i="4"/>
  <c r="C287" i="4"/>
  <c r="D287" i="4"/>
  <c r="F287" i="4"/>
  <c r="C288" i="4"/>
  <c r="D288" i="4"/>
  <c r="F288" i="4"/>
  <c r="C289" i="4"/>
  <c r="D289" i="4"/>
  <c r="F289" i="4"/>
  <c r="C290" i="4"/>
  <c r="D290" i="4"/>
  <c r="F290" i="4"/>
  <c r="C291" i="4"/>
  <c r="D291" i="4"/>
  <c r="F291" i="4"/>
  <c r="C292" i="4"/>
  <c r="D292" i="4"/>
  <c r="F292" i="4"/>
  <c r="C293" i="4"/>
  <c r="D293" i="4"/>
  <c r="F293" i="4"/>
  <c r="C294" i="4"/>
  <c r="D294" i="4"/>
  <c r="F294" i="4"/>
  <c r="C295" i="4"/>
  <c r="D295" i="4"/>
  <c r="F295" i="4"/>
  <c r="C296" i="4"/>
  <c r="D296" i="4"/>
  <c r="F296" i="4"/>
  <c r="C297" i="4"/>
  <c r="D297" i="4"/>
  <c r="F297" i="4"/>
  <c r="C298" i="4"/>
  <c r="D298" i="4"/>
  <c r="F298" i="4"/>
  <c r="C299" i="4"/>
  <c r="D299" i="4"/>
  <c r="F299" i="4"/>
  <c r="C300" i="4"/>
  <c r="D300" i="4"/>
  <c r="F300" i="4"/>
  <c r="C301" i="4"/>
  <c r="D301" i="4"/>
  <c r="F301" i="4"/>
  <c r="C302" i="4"/>
  <c r="D302" i="4"/>
  <c r="F302" i="4"/>
  <c r="C303" i="4"/>
  <c r="D303" i="4"/>
  <c r="F303" i="4"/>
  <c r="C304" i="4"/>
  <c r="D304" i="4"/>
  <c r="F304" i="4"/>
  <c r="C305" i="4"/>
  <c r="D305" i="4"/>
  <c r="F305" i="4"/>
  <c r="C306" i="4"/>
  <c r="D306" i="4"/>
  <c r="F306" i="4"/>
  <c r="C307" i="4"/>
  <c r="D307" i="4"/>
  <c r="F307" i="4"/>
  <c r="C308" i="4"/>
  <c r="D308" i="4"/>
  <c r="F308" i="4"/>
  <c r="C309" i="4"/>
  <c r="D309" i="4"/>
  <c r="F309" i="4"/>
  <c r="C310" i="4"/>
  <c r="D310" i="4"/>
  <c r="F310" i="4"/>
  <c r="C311" i="4"/>
  <c r="D311" i="4"/>
  <c r="F311" i="4"/>
  <c r="C312" i="4"/>
  <c r="D312" i="4"/>
  <c r="F312" i="4"/>
  <c r="C313" i="4"/>
  <c r="D313" i="4"/>
  <c r="F313" i="4"/>
  <c r="C314" i="4"/>
  <c r="D314" i="4"/>
  <c r="F314" i="4"/>
  <c r="C315" i="4"/>
  <c r="D315" i="4"/>
  <c r="F315" i="4"/>
  <c r="C316" i="4"/>
  <c r="D316" i="4"/>
  <c r="F316" i="4"/>
  <c r="C317" i="4"/>
  <c r="D317" i="4"/>
  <c r="F317" i="4"/>
  <c r="C318" i="4"/>
  <c r="D318" i="4"/>
  <c r="F318" i="4"/>
  <c r="C319" i="4"/>
  <c r="D319" i="4"/>
  <c r="F319" i="4"/>
  <c r="C320" i="4"/>
  <c r="D320" i="4"/>
  <c r="F320" i="4"/>
  <c r="C321" i="4"/>
  <c r="D321" i="4"/>
  <c r="F321" i="4"/>
  <c r="C322" i="4"/>
  <c r="D322" i="4"/>
  <c r="F322" i="4"/>
  <c r="C323" i="4"/>
  <c r="D323" i="4"/>
  <c r="F323" i="4"/>
  <c r="C324" i="4"/>
  <c r="D324" i="4"/>
  <c r="F324" i="4"/>
  <c r="C325" i="4"/>
  <c r="D325" i="4"/>
  <c r="F325" i="4"/>
  <c r="C326" i="4"/>
  <c r="D326" i="4"/>
  <c r="F326" i="4"/>
  <c r="C327" i="4"/>
  <c r="D327" i="4"/>
  <c r="F327" i="4"/>
  <c r="C328" i="4"/>
  <c r="D328" i="4"/>
  <c r="F328" i="4"/>
  <c r="C329" i="4"/>
  <c r="D329" i="4"/>
  <c r="F329" i="4"/>
  <c r="C330" i="4"/>
  <c r="D330" i="4"/>
  <c r="F330" i="4"/>
  <c r="C331" i="4"/>
  <c r="D331" i="4"/>
  <c r="F331" i="4"/>
  <c r="C332" i="4"/>
  <c r="D332" i="4"/>
  <c r="F332" i="4"/>
  <c r="C333" i="4"/>
  <c r="D333" i="4"/>
  <c r="F333" i="4"/>
  <c r="C334" i="4"/>
  <c r="D334" i="4"/>
  <c r="F334" i="4"/>
  <c r="C335" i="4"/>
  <c r="D335" i="4"/>
  <c r="F335" i="4"/>
  <c r="C336" i="4"/>
  <c r="D336" i="4"/>
  <c r="F336" i="4"/>
  <c r="C337" i="4"/>
  <c r="D337" i="4"/>
  <c r="F337" i="4"/>
  <c r="C338" i="4"/>
  <c r="D338" i="4"/>
  <c r="F338" i="4"/>
  <c r="C339" i="4"/>
  <c r="D339" i="4"/>
  <c r="F339" i="4"/>
  <c r="C340" i="4"/>
  <c r="D340" i="4"/>
  <c r="F340" i="4"/>
  <c r="C341" i="4"/>
  <c r="D341" i="4"/>
  <c r="F341" i="4"/>
  <c r="C342" i="4"/>
  <c r="D342" i="4"/>
  <c r="F342" i="4"/>
  <c r="C343" i="4"/>
  <c r="D343" i="4"/>
  <c r="F343" i="4"/>
  <c r="C344" i="4"/>
  <c r="D344" i="4"/>
  <c r="F344" i="4"/>
  <c r="C345" i="4"/>
  <c r="D345" i="4"/>
  <c r="F345" i="4"/>
  <c r="C346" i="4"/>
  <c r="D346" i="4"/>
  <c r="F346" i="4"/>
  <c r="C347" i="4"/>
  <c r="D347" i="4"/>
  <c r="F347" i="4"/>
  <c r="C348" i="4"/>
  <c r="D348" i="4"/>
  <c r="F348" i="4"/>
  <c r="C349" i="4"/>
  <c r="D349" i="4"/>
  <c r="F349" i="4"/>
  <c r="C350" i="4"/>
  <c r="D350" i="4"/>
  <c r="F350" i="4"/>
  <c r="C351" i="4"/>
  <c r="D351" i="4"/>
  <c r="F351" i="4"/>
  <c r="C352" i="4"/>
  <c r="D352" i="4"/>
  <c r="F352" i="4"/>
  <c r="C353" i="4"/>
  <c r="D353" i="4"/>
  <c r="F353" i="4"/>
  <c r="C354" i="4"/>
  <c r="D354" i="4"/>
  <c r="F354" i="4"/>
  <c r="C355" i="4"/>
  <c r="D355" i="4"/>
  <c r="F355" i="4"/>
  <c r="C356" i="4"/>
  <c r="D356" i="4"/>
  <c r="F356" i="4"/>
  <c r="C357" i="4"/>
  <c r="D357" i="4"/>
  <c r="F357" i="4"/>
  <c r="C358" i="4"/>
  <c r="D358" i="4"/>
  <c r="F358" i="4"/>
  <c r="C359" i="4"/>
  <c r="D359" i="4"/>
  <c r="F359" i="4"/>
  <c r="C360" i="4"/>
  <c r="D360" i="4"/>
  <c r="F360" i="4"/>
  <c r="C361" i="4"/>
  <c r="D361" i="4"/>
  <c r="F361" i="4"/>
  <c r="C362" i="4"/>
  <c r="D362" i="4"/>
  <c r="F362" i="4"/>
  <c r="C363" i="4"/>
  <c r="D363" i="4"/>
  <c r="F363" i="4"/>
  <c r="C364" i="4"/>
  <c r="D364" i="4"/>
  <c r="F364" i="4"/>
  <c r="C365" i="4"/>
  <c r="D365" i="4"/>
  <c r="F365" i="4"/>
  <c r="C366" i="4"/>
  <c r="D366" i="4"/>
  <c r="F366" i="4"/>
  <c r="C367" i="4"/>
  <c r="D367" i="4"/>
  <c r="F367" i="4"/>
  <c r="C368" i="4"/>
  <c r="D368" i="4"/>
  <c r="F368" i="4"/>
  <c r="C369" i="4"/>
  <c r="D369" i="4"/>
  <c r="F369" i="4"/>
  <c r="C370" i="4"/>
  <c r="D370" i="4"/>
  <c r="F370" i="4"/>
  <c r="C371" i="4"/>
  <c r="D371" i="4"/>
  <c r="F371" i="4"/>
  <c r="C372" i="4"/>
  <c r="D372" i="4"/>
  <c r="F372" i="4"/>
  <c r="C373" i="4"/>
  <c r="D373" i="4"/>
  <c r="F373" i="4"/>
  <c r="C374" i="4"/>
  <c r="D374" i="4"/>
  <c r="F374" i="4"/>
  <c r="C375" i="4"/>
  <c r="D375" i="4"/>
  <c r="F375" i="4"/>
  <c r="C376" i="4"/>
  <c r="D376" i="4"/>
  <c r="F376" i="4"/>
  <c r="C377" i="4"/>
  <c r="D377" i="4"/>
  <c r="F377" i="4"/>
  <c r="C378" i="4"/>
  <c r="D378" i="4"/>
  <c r="F378" i="4"/>
  <c r="C379" i="4"/>
  <c r="D379" i="4"/>
  <c r="F379" i="4"/>
  <c r="C380" i="4"/>
  <c r="D380" i="4"/>
  <c r="F380" i="4"/>
  <c r="C381" i="4"/>
  <c r="D381" i="4"/>
  <c r="F381" i="4"/>
  <c r="C382" i="4"/>
  <c r="D382" i="4"/>
  <c r="F382" i="4"/>
  <c r="C383" i="4"/>
  <c r="D383" i="4"/>
  <c r="F383" i="4"/>
  <c r="C384" i="4"/>
  <c r="D384" i="4"/>
  <c r="F384" i="4"/>
  <c r="C385" i="4"/>
  <c r="D385" i="4"/>
  <c r="F385" i="4"/>
  <c r="C386" i="4"/>
  <c r="D386" i="4"/>
  <c r="F386" i="4"/>
  <c r="C387" i="4"/>
  <c r="D387" i="4"/>
  <c r="F387" i="4"/>
  <c r="C388" i="4"/>
  <c r="D388" i="4"/>
  <c r="F388" i="4"/>
  <c r="C389" i="4"/>
  <c r="D389" i="4"/>
  <c r="F389" i="4"/>
  <c r="C390" i="4"/>
  <c r="D390" i="4"/>
  <c r="F390" i="4"/>
  <c r="C391" i="4"/>
  <c r="D391" i="4"/>
  <c r="F391" i="4"/>
  <c r="C392" i="4"/>
  <c r="D392" i="4"/>
  <c r="F392" i="4"/>
  <c r="C393" i="4"/>
  <c r="D393" i="4"/>
  <c r="F393" i="4"/>
  <c r="C394" i="4"/>
  <c r="D394" i="4"/>
  <c r="F394" i="4"/>
  <c r="C395" i="4"/>
  <c r="D395" i="4"/>
  <c r="F395" i="4"/>
  <c r="C396" i="4"/>
  <c r="D396" i="4"/>
  <c r="F396" i="4"/>
  <c r="C397" i="4"/>
  <c r="D397" i="4"/>
  <c r="F397" i="4"/>
  <c r="C398" i="4"/>
  <c r="D398" i="4"/>
  <c r="F398" i="4"/>
  <c r="C399" i="4"/>
  <c r="D399" i="4"/>
  <c r="F399" i="4"/>
  <c r="C400" i="4"/>
  <c r="D400" i="4"/>
  <c r="F400" i="4"/>
  <c r="C401" i="4"/>
  <c r="D401" i="4"/>
  <c r="F401" i="4"/>
  <c r="C402" i="4"/>
  <c r="D402" i="4"/>
  <c r="F402" i="4"/>
  <c r="C403" i="4"/>
  <c r="D403" i="4"/>
  <c r="F403" i="4"/>
  <c r="C404" i="4"/>
  <c r="D404" i="4"/>
  <c r="F404" i="4"/>
  <c r="C405" i="4"/>
  <c r="D405" i="4"/>
  <c r="F405" i="4"/>
  <c r="C406" i="4"/>
  <c r="D406" i="4"/>
  <c r="F406" i="4"/>
  <c r="C407" i="4"/>
  <c r="D407" i="4"/>
  <c r="F407" i="4"/>
  <c r="C408" i="4"/>
  <c r="D408" i="4"/>
  <c r="F408" i="4"/>
  <c r="C409" i="4"/>
  <c r="D409" i="4"/>
  <c r="F409" i="4"/>
  <c r="C410" i="4"/>
  <c r="D410" i="4"/>
  <c r="F410" i="4"/>
  <c r="C411" i="4"/>
  <c r="D411" i="4"/>
  <c r="F411" i="4"/>
  <c r="C412" i="4"/>
  <c r="D412" i="4"/>
  <c r="F412" i="4"/>
  <c r="C413" i="4"/>
  <c r="D413" i="4"/>
  <c r="F413" i="4"/>
  <c r="C414" i="4"/>
  <c r="D414" i="4"/>
  <c r="F414" i="4"/>
  <c r="C415" i="4"/>
  <c r="D415" i="4"/>
  <c r="F415" i="4"/>
  <c r="C416" i="4"/>
  <c r="D416" i="4"/>
  <c r="F416" i="4"/>
  <c r="C417" i="4"/>
  <c r="D417" i="4"/>
  <c r="F417" i="4"/>
  <c r="C418" i="4"/>
  <c r="D418" i="4"/>
  <c r="F418" i="4"/>
  <c r="C419" i="4"/>
  <c r="D419" i="4"/>
  <c r="F419" i="4"/>
  <c r="C420" i="4"/>
  <c r="D420" i="4"/>
  <c r="F420" i="4"/>
  <c r="C421" i="4"/>
  <c r="D421" i="4"/>
  <c r="F421" i="4"/>
  <c r="C422" i="4"/>
  <c r="D422" i="4"/>
  <c r="F422" i="4"/>
  <c r="C423" i="4"/>
  <c r="D423" i="4"/>
  <c r="F423" i="4"/>
  <c r="C424" i="4"/>
  <c r="D424" i="4"/>
  <c r="F424" i="4"/>
  <c r="C425" i="4"/>
  <c r="D425" i="4"/>
  <c r="F425" i="4"/>
  <c r="C426" i="4"/>
  <c r="D426" i="4"/>
  <c r="F426" i="4"/>
  <c r="C427" i="4"/>
  <c r="D427" i="4"/>
  <c r="F427" i="4"/>
  <c r="C428" i="4"/>
  <c r="D428" i="4"/>
  <c r="F428" i="4"/>
  <c r="C429" i="4"/>
  <c r="D429" i="4"/>
  <c r="F429" i="4"/>
  <c r="C430" i="4"/>
  <c r="D430" i="4"/>
  <c r="F430" i="4"/>
  <c r="C431" i="4"/>
  <c r="D431" i="4"/>
  <c r="F431" i="4"/>
  <c r="C432" i="4"/>
  <c r="D432" i="4"/>
  <c r="F432" i="4"/>
  <c r="C433" i="4"/>
  <c r="D433" i="4"/>
  <c r="F433" i="4"/>
  <c r="C434" i="4"/>
  <c r="D434" i="4"/>
  <c r="F434" i="4"/>
  <c r="C435" i="4"/>
  <c r="D435" i="4"/>
  <c r="F435" i="4"/>
  <c r="C436" i="4"/>
  <c r="D436" i="4"/>
  <c r="F436" i="4"/>
  <c r="C437" i="4"/>
  <c r="D437" i="4"/>
  <c r="F437" i="4"/>
  <c r="C438" i="4"/>
  <c r="D438" i="4"/>
  <c r="F438" i="4"/>
  <c r="C439" i="4"/>
  <c r="D439" i="4"/>
  <c r="F439" i="4"/>
  <c r="C440" i="4"/>
  <c r="D440" i="4"/>
  <c r="F440" i="4"/>
  <c r="C441" i="4"/>
  <c r="D441" i="4"/>
  <c r="F441" i="4"/>
  <c r="C442" i="4"/>
  <c r="D442" i="4"/>
  <c r="F442" i="4"/>
  <c r="C443" i="4"/>
  <c r="D443" i="4"/>
  <c r="F443" i="4"/>
  <c r="C444" i="4"/>
  <c r="D444" i="4"/>
  <c r="F444" i="4"/>
  <c r="C445" i="4"/>
  <c r="D445" i="4"/>
  <c r="F445" i="4"/>
  <c r="C446" i="4"/>
  <c r="D446" i="4"/>
  <c r="F446" i="4"/>
  <c r="C447" i="4"/>
  <c r="D447" i="4"/>
  <c r="F447" i="4"/>
  <c r="C448" i="4"/>
  <c r="D448" i="4"/>
  <c r="F448" i="4"/>
  <c r="C449" i="4"/>
  <c r="D449" i="4"/>
  <c r="F449" i="4"/>
  <c r="C450" i="4"/>
  <c r="D450" i="4"/>
  <c r="F450" i="4"/>
  <c r="C451" i="4"/>
  <c r="D451" i="4"/>
  <c r="F451" i="4"/>
  <c r="C452" i="4"/>
  <c r="D452" i="4"/>
  <c r="F452" i="4"/>
  <c r="C453" i="4"/>
  <c r="D453" i="4"/>
  <c r="F453" i="4"/>
  <c r="C454" i="4"/>
  <c r="D454" i="4"/>
  <c r="F454" i="4"/>
  <c r="C455" i="4"/>
  <c r="D455" i="4"/>
  <c r="F455" i="4"/>
  <c r="C456" i="4"/>
  <c r="D456" i="4"/>
  <c r="F456" i="4"/>
  <c r="C457" i="4"/>
  <c r="D457" i="4"/>
  <c r="F457" i="4"/>
  <c r="C458" i="4"/>
  <c r="D458" i="4"/>
  <c r="F458" i="4"/>
  <c r="C459" i="4"/>
  <c r="D459" i="4"/>
  <c r="F459" i="4"/>
  <c r="C460" i="4"/>
  <c r="D460" i="4"/>
  <c r="F460" i="4"/>
  <c r="C461" i="4"/>
  <c r="D461" i="4"/>
  <c r="F461" i="4"/>
  <c r="C462" i="4"/>
  <c r="D462" i="4"/>
  <c r="F462" i="4"/>
  <c r="C463" i="4"/>
  <c r="D463" i="4"/>
  <c r="F463" i="4"/>
  <c r="C464" i="4"/>
  <c r="D464" i="4"/>
  <c r="F464" i="4"/>
  <c r="C465" i="4"/>
  <c r="D465" i="4"/>
  <c r="F465" i="4"/>
  <c r="C466" i="4"/>
  <c r="D466" i="4"/>
  <c r="F466" i="4"/>
  <c r="C467" i="4"/>
  <c r="D467" i="4"/>
  <c r="F467" i="4"/>
  <c r="C468" i="4"/>
  <c r="D468" i="4"/>
  <c r="F468" i="4"/>
  <c r="C469" i="4"/>
  <c r="D469" i="4"/>
  <c r="F469" i="4"/>
  <c r="C470" i="4"/>
  <c r="D470" i="4"/>
  <c r="F470" i="4"/>
  <c r="C471" i="4"/>
  <c r="D471" i="4"/>
  <c r="F471" i="4"/>
  <c r="C472" i="4"/>
  <c r="D472" i="4"/>
  <c r="F472" i="4"/>
  <c r="C473" i="4"/>
  <c r="D473" i="4"/>
  <c r="F473" i="4"/>
  <c r="C474" i="4"/>
  <c r="D474" i="4"/>
  <c r="F474" i="4"/>
  <c r="C475" i="4"/>
  <c r="D475" i="4"/>
  <c r="F475" i="4"/>
  <c r="C476" i="4"/>
  <c r="D476" i="4"/>
  <c r="F476" i="4"/>
  <c r="C477" i="4"/>
  <c r="D477" i="4"/>
  <c r="F477" i="4"/>
  <c r="C478" i="4"/>
  <c r="D478" i="4"/>
  <c r="F478" i="4"/>
  <c r="C479" i="4"/>
  <c r="D479" i="4"/>
  <c r="F479" i="4"/>
  <c r="C480" i="4"/>
  <c r="D480" i="4"/>
  <c r="F480" i="4"/>
  <c r="C481" i="4"/>
  <c r="D481" i="4"/>
  <c r="F481" i="4"/>
  <c r="C482" i="4"/>
  <c r="D482" i="4"/>
  <c r="F482" i="4"/>
  <c r="C483" i="4"/>
  <c r="D483" i="4"/>
  <c r="F483" i="4"/>
  <c r="C484" i="4"/>
  <c r="D484" i="4"/>
  <c r="F484" i="4"/>
  <c r="C485" i="4"/>
  <c r="D485" i="4"/>
  <c r="F485" i="4"/>
  <c r="C486" i="4"/>
  <c r="D486" i="4"/>
  <c r="F486" i="4"/>
  <c r="C487" i="4"/>
  <c r="D487" i="4"/>
  <c r="F487" i="4"/>
  <c r="C488" i="4"/>
  <c r="D488" i="4"/>
  <c r="F488" i="4"/>
  <c r="C489" i="4"/>
  <c r="D489" i="4"/>
  <c r="F489" i="4"/>
  <c r="C490" i="4"/>
  <c r="D490" i="4"/>
  <c r="F490" i="4"/>
  <c r="C491" i="4"/>
  <c r="D491" i="4"/>
  <c r="F491" i="4"/>
  <c r="C492" i="4"/>
  <c r="D492" i="4"/>
  <c r="F492" i="4"/>
  <c r="C493" i="4"/>
  <c r="D493" i="4"/>
  <c r="F493" i="4"/>
  <c r="C494" i="4"/>
  <c r="D494" i="4"/>
  <c r="F494" i="4"/>
  <c r="C495" i="4"/>
  <c r="D495" i="4"/>
  <c r="F495" i="4"/>
  <c r="C496" i="4"/>
  <c r="D496" i="4"/>
  <c r="F496" i="4"/>
  <c r="C497" i="4"/>
  <c r="D497" i="4"/>
  <c r="F497" i="4"/>
  <c r="C498" i="4"/>
  <c r="D498" i="4"/>
  <c r="F498" i="4"/>
  <c r="C499" i="4"/>
  <c r="D499" i="4"/>
  <c r="F499" i="4"/>
  <c r="C500" i="4"/>
  <c r="D500" i="4"/>
  <c r="F500" i="4"/>
  <c r="C501" i="4"/>
  <c r="D501" i="4"/>
  <c r="F501" i="4"/>
  <c r="C3" i="4"/>
  <c r="D3" i="4"/>
  <c r="L3" i="4"/>
  <c r="K3" i="4"/>
  <c r="F3" i="4"/>
  <c r="K3" i="14" l="1"/>
  <c r="K9" i="13" s="1"/>
  <c r="O3" i="14"/>
  <c r="O9" i="13" s="1"/>
  <c r="U119" i="13"/>
  <c r="I119" i="13"/>
  <c r="E119" i="13"/>
  <c r="U79" i="13"/>
  <c r="I79" i="13"/>
  <c r="E79" i="13"/>
  <c r="T119" i="13"/>
  <c r="P119" i="13"/>
  <c r="L119" i="13"/>
  <c r="T79" i="13"/>
  <c r="P79" i="13"/>
  <c r="L79" i="13"/>
  <c r="O119" i="13"/>
  <c r="G119" i="13"/>
  <c r="O79" i="13"/>
  <c r="G79" i="13"/>
  <c r="R119" i="13"/>
  <c r="N119" i="13"/>
  <c r="R79" i="13"/>
  <c r="N79" i="13"/>
  <c r="P3" i="14"/>
  <c r="G3" i="14"/>
  <c r="G9" i="13" s="1"/>
  <c r="R118" i="13"/>
  <c r="P118" i="13"/>
  <c r="N118" i="13"/>
  <c r="L118" i="13"/>
  <c r="R117" i="13"/>
  <c r="P117" i="13"/>
  <c r="N117" i="13"/>
  <c r="L117" i="13"/>
  <c r="R116" i="13"/>
  <c r="P116" i="13"/>
  <c r="N116" i="13"/>
  <c r="L116" i="13"/>
  <c r="R91" i="13"/>
  <c r="P91" i="13"/>
  <c r="N91" i="13"/>
  <c r="L91" i="13"/>
  <c r="R78" i="13"/>
  <c r="P78" i="13"/>
  <c r="N78" i="13"/>
  <c r="L78" i="13"/>
  <c r="R77" i="13"/>
  <c r="P77" i="13"/>
  <c r="N77" i="13"/>
  <c r="L77" i="13"/>
  <c r="R76" i="13"/>
  <c r="P76" i="13"/>
  <c r="N76" i="13"/>
  <c r="L76" i="13"/>
  <c r="U51" i="13"/>
  <c r="O51" i="13"/>
  <c r="I51" i="13"/>
  <c r="G51" i="13"/>
  <c r="E51" i="13"/>
  <c r="U38" i="13"/>
  <c r="O38" i="13"/>
  <c r="I38" i="13"/>
  <c r="G38" i="13"/>
  <c r="E38" i="13"/>
  <c r="U37" i="13"/>
  <c r="U118" i="13"/>
  <c r="O118" i="13"/>
  <c r="I118" i="13"/>
  <c r="G118" i="13"/>
  <c r="E118" i="13"/>
  <c r="U117" i="13"/>
  <c r="O117" i="13"/>
  <c r="I117" i="13"/>
  <c r="G117" i="13"/>
  <c r="E117" i="13"/>
  <c r="U116" i="13"/>
  <c r="O116" i="13"/>
  <c r="I116" i="13"/>
  <c r="G116" i="13"/>
  <c r="E116" i="13"/>
  <c r="U91" i="13"/>
  <c r="O91" i="13"/>
  <c r="I91" i="13"/>
  <c r="G91" i="13"/>
  <c r="E91" i="13"/>
  <c r="U78" i="13"/>
  <c r="O78" i="13"/>
  <c r="I78" i="13"/>
  <c r="G78" i="13"/>
  <c r="E78" i="13"/>
  <c r="U77" i="13"/>
  <c r="O77" i="13"/>
  <c r="I77" i="13"/>
  <c r="G77" i="13"/>
  <c r="E77" i="13"/>
  <c r="U76" i="13"/>
  <c r="O76" i="13"/>
  <c r="I76" i="13"/>
  <c r="G76" i="13"/>
  <c r="E76" i="13"/>
  <c r="R51" i="13"/>
  <c r="P51" i="13"/>
  <c r="N51" i="13"/>
  <c r="L51" i="13"/>
  <c r="R38" i="13"/>
  <c r="P38" i="13"/>
  <c r="N38" i="13"/>
  <c r="L38" i="13"/>
  <c r="O37" i="13"/>
  <c r="I37" i="13"/>
  <c r="G37" i="13"/>
  <c r="E37" i="13"/>
  <c r="U36" i="13"/>
  <c r="O36" i="13"/>
  <c r="I36" i="13"/>
  <c r="G36" i="13"/>
  <c r="E36" i="13"/>
  <c r="U11" i="13"/>
  <c r="O11" i="13"/>
  <c r="I11" i="13"/>
  <c r="G11" i="13"/>
  <c r="E11" i="13"/>
  <c r="R37" i="13"/>
  <c r="P37" i="13"/>
  <c r="N37" i="13"/>
  <c r="L37" i="13"/>
  <c r="R36" i="13"/>
  <c r="P36" i="13"/>
  <c r="N36" i="13"/>
  <c r="L36" i="13"/>
  <c r="R11" i="13"/>
  <c r="P11" i="13"/>
  <c r="N11" i="13"/>
  <c r="L11" i="13"/>
  <c r="P115" i="13"/>
  <c r="P112" i="13"/>
  <c r="P110" i="13"/>
  <c r="P108" i="13"/>
  <c r="P105" i="13"/>
  <c r="P103" i="13"/>
  <c r="P101" i="13"/>
  <c r="P99" i="13"/>
  <c r="P97" i="13"/>
  <c r="P95" i="13"/>
  <c r="P93" i="13"/>
  <c r="P75" i="13"/>
  <c r="P72" i="13"/>
  <c r="P70" i="13"/>
  <c r="P68" i="13"/>
  <c r="P65" i="13"/>
  <c r="P63" i="13"/>
  <c r="P61" i="13"/>
  <c r="P59" i="13"/>
  <c r="P57" i="13"/>
  <c r="P55" i="13"/>
  <c r="P53" i="13"/>
  <c r="P35" i="13"/>
  <c r="P32" i="13"/>
  <c r="P30" i="13"/>
  <c r="P28" i="13"/>
  <c r="P25" i="13"/>
  <c r="P23" i="13"/>
  <c r="P21" i="13"/>
  <c r="P19" i="13"/>
  <c r="P17" i="13"/>
  <c r="P15" i="13"/>
  <c r="P13" i="13"/>
  <c r="O115" i="13"/>
  <c r="O112" i="13"/>
  <c r="O110" i="13"/>
  <c r="O108" i="13"/>
  <c r="O105" i="13"/>
  <c r="O103" i="13"/>
  <c r="O101" i="13"/>
  <c r="O99" i="13"/>
  <c r="O97" i="13"/>
  <c r="O95" i="13"/>
  <c r="O93" i="13"/>
  <c r="O75" i="13"/>
  <c r="O72" i="13"/>
  <c r="O70" i="13"/>
  <c r="O68" i="13"/>
  <c r="O65" i="13"/>
  <c r="O63" i="13"/>
  <c r="O61" i="13"/>
  <c r="O59" i="13"/>
  <c r="O57" i="13"/>
  <c r="O55" i="13"/>
  <c r="O53" i="13"/>
  <c r="O39" i="13"/>
  <c r="O33" i="13"/>
  <c r="O31" i="13"/>
  <c r="O29" i="13"/>
  <c r="O26" i="13"/>
  <c r="O24" i="13"/>
  <c r="O22" i="13"/>
  <c r="O20" i="13"/>
  <c r="P111" i="13"/>
  <c r="P106" i="13"/>
  <c r="P102" i="13"/>
  <c r="P98" i="13"/>
  <c r="P94" i="13"/>
  <c r="P71" i="13"/>
  <c r="P66" i="13"/>
  <c r="P62" i="13"/>
  <c r="P58" i="13"/>
  <c r="P54" i="13"/>
  <c r="P39" i="13"/>
  <c r="P31" i="13"/>
  <c r="P26" i="13"/>
  <c r="P22" i="13"/>
  <c r="P18" i="13"/>
  <c r="P14" i="13"/>
  <c r="O111" i="13"/>
  <c r="O106" i="13"/>
  <c r="O102" i="13"/>
  <c r="O98" i="13"/>
  <c r="O94" i="13"/>
  <c r="O71" i="13"/>
  <c r="O66" i="13"/>
  <c r="O62" i="13"/>
  <c r="O58" i="13"/>
  <c r="O54" i="13"/>
  <c r="O32" i="13"/>
  <c r="O28" i="13"/>
  <c r="O23" i="13"/>
  <c r="O19" i="13"/>
  <c r="O17" i="13"/>
  <c r="O15" i="13"/>
  <c r="O13" i="13"/>
  <c r="G113" i="13"/>
  <c r="G111" i="13"/>
  <c r="G109" i="13"/>
  <c r="G106" i="13"/>
  <c r="G104" i="13"/>
  <c r="G102" i="13"/>
  <c r="G100" i="13"/>
  <c r="G98" i="13"/>
  <c r="G96" i="13"/>
  <c r="G94" i="13"/>
  <c r="G92" i="13"/>
  <c r="G73" i="13"/>
  <c r="G71" i="13"/>
  <c r="G69" i="13"/>
  <c r="G66" i="13"/>
  <c r="G64" i="13"/>
  <c r="G62" i="13"/>
  <c r="G60" i="13"/>
  <c r="G58" i="13"/>
  <c r="G56" i="13"/>
  <c r="G54" i="13"/>
  <c r="G52" i="13"/>
  <c r="G35" i="13"/>
  <c r="G32" i="13"/>
  <c r="G30" i="13"/>
  <c r="G28" i="13"/>
  <c r="G25" i="13"/>
  <c r="G23" i="13"/>
  <c r="G21" i="13"/>
  <c r="G19" i="13"/>
  <c r="G17" i="13"/>
  <c r="G15" i="13"/>
  <c r="G13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3" i="13"/>
  <c r="P29" i="13"/>
  <c r="P24" i="13"/>
  <c r="P20" i="13"/>
  <c r="P16" i="13"/>
  <c r="P12" i="13"/>
  <c r="O113" i="13"/>
  <c r="O109" i="13"/>
  <c r="O104" i="13"/>
  <c r="O100" i="13"/>
  <c r="O96" i="13"/>
  <c r="O92" i="13"/>
  <c r="O73" i="13"/>
  <c r="O69" i="13"/>
  <c r="O64" i="13"/>
  <c r="O60" i="13"/>
  <c r="O56" i="13"/>
  <c r="O52" i="13"/>
  <c r="O35" i="13"/>
  <c r="O30" i="13"/>
  <c r="O25" i="13"/>
  <c r="O21" i="13"/>
  <c r="O18" i="13"/>
  <c r="O16" i="13"/>
  <c r="O14" i="13"/>
  <c r="O12" i="13"/>
  <c r="G115" i="13"/>
  <c r="G110" i="13"/>
  <c r="G105" i="13"/>
  <c r="G101" i="13"/>
  <c r="G97" i="13"/>
  <c r="G93" i="13"/>
  <c r="G75" i="13"/>
  <c r="G70" i="13"/>
  <c r="G65" i="13"/>
  <c r="G61" i="13"/>
  <c r="G57" i="13"/>
  <c r="G53" i="13"/>
  <c r="G39" i="13"/>
  <c r="G31" i="13"/>
  <c r="G26" i="13"/>
  <c r="G22" i="13"/>
  <c r="G18" i="13"/>
  <c r="G14" i="13"/>
  <c r="G112" i="13"/>
  <c r="G108" i="13"/>
  <c r="G103" i="13"/>
  <c r="G99" i="13"/>
  <c r="G95" i="13"/>
  <c r="G72" i="13"/>
  <c r="G68" i="13"/>
  <c r="G63" i="13"/>
  <c r="G59" i="13"/>
  <c r="G55" i="13"/>
  <c r="G33" i="13"/>
  <c r="G29" i="13"/>
  <c r="G24" i="13"/>
  <c r="G20" i="13"/>
  <c r="G16" i="13"/>
  <c r="G12" i="13"/>
  <c r="R17" i="13"/>
  <c r="U14" i="13"/>
  <c r="U22" i="13"/>
  <c r="U31" i="13"/>
  <c r="U55" i="13"/>
  <c r="U63" i="13"/>
  <c r="U72" i="13"/>
  <c r="U97" i="13"/>
  <c r="U105" i="13"/>
  <c r="U115" i="13"/>
  <c r="U18" i="13"/>
  <c r="U26" i="13"/>
  <c r="U39" i="13"/>
  <c r="U59" i="13"/>
  <c r="U68" i="13"/>
  <c r="U93" i="13"/>
  <c r="U101" i="13"/>
  <c r="U110" i="13"/>
  <c r="U12" i="13"/>
  <c r="U16" i="13"/>
  <c r="U20" i="13"/>
  <c r="U24" i="13"/>
  <c r="U29" i="13"/>
  <c r="U33" i="13"/>
  <c r="U53" i="13"/>
  <c r="U57" i="13"/>
  <c r="U61" i="13"/>
  <c r="U65" i="13"/>
  <c r="U70" i="13"/>
  <c r="U75" i="13"/>
  <c r="U95" i="13"/>
  <c r="U99" i="13"/>
  <c r="U103" i="13"/>
  <c r="U108" i="13"/>
  <c r="U112" i="13"/>
  <c r="U13" i="13"/>
  <c r="U15" i="13"/>
  <c r="U17" i="13"/>
  <c r="U19" i="13"/>
  <c r="U21" i="13"/>
  <c r="U23" i="13"/>
  <c r="U25" i="13"/>
  <c r="U28" i="13"/>
  <c r="U30" i="13"/>
  <c r="U32" i="13"/>
  <c r="U35" i="13"/>
  <c r="U52" i="13"/>
  <c r="U54" i="13"/>
  <c r="U56" i="13"/>
  <c r="U58" i="13"/>
  <c r="U60" i="13"/>
  <c r="U62" i="13"/>
  <c r="U64" i="13"/>
  <c r="U66" i="13"/>
  <c r="U69" i="13"/>
  <c r="U71" i="13"/>
  <c r="U73" i="13"/>
  <c r="U92" i="13"/>
  <c r="U94" i="13"/>
  <c r="U96" i="13"/>
  <c r="U98" i="13"/>
  <c r="U100" i="13"/>
  <c r="U102" i="13"/>
  <c r="U104" i="13"/>
  <c r="U106" i="13"/>
  <c r="U109" i="13"/>
  <c r="U111" i="13"/>
  <c r="U113" i="13"/>
  <c r="T108" i="14"/>
  <c r="T107" i="14"/>
  <c r="T105" i="14"/>
  <c r="T104" i="14"/>
  <c r="T103" i="14"/>
  <c r="T102" i="14"/>
  <c r="T101" i="14"/>
  <c r="T99" i="14"/>
  <c r="T98" i="14"/>
  <c r="T97" i="14"/>
  <c r="T96" i="14"/>
  <c r="T95" i="14"/>
  <c r="T94" i="14"/>
  <c r="T93" i="14"/>
  <c r="T88" i="14"/>
  <c r="T87" i="14"/>
  <c r="T85" i="14"/>
  <c r="T84" i="14"/>
  <c r="T83" i="14"/>
  <c r="T82" i="14"/>
  <c r="T81" i="14"/>
  <c r="T79" i="14"/>
  <c r="T78" i="14"/>
  <c r="T77" i="14"/>
  <c r="T76" i="14"/>
  <c r="T75" i="14"/>
  <c r="T74" i="14"/>
  <c r="T73" i="14"/>
  <c r="T68" i="14"/>
  <c r="T67" i="14"/>
  <c r="T66" i="14"/>
  <c r="T65" i="14"/>
  <c r="T64" i="14"/>
  <c r="T62" i="14"/>
  <c r="T61" i="14"/>
  <c r="T60" i="14"/>
  <c r="T57" i="14"/>
  <c r="T56" i="14"/>
  <c r="T55" i="14"/>
  <c r="T54" i="14"/>
  <c r="T52" i="14"/>
  <c r="T50" i="14"/>
  <c r="T48" i="14"/>
  <c r="T47" i="14"/>
  <c r="T46" i="14"/>
  <c r="T45" i="14"/>
  <c r="T44" i="14"/>
  <c r="T43" i="14"/>
  <c r="T41" i="14"/>
  <c r="T40" i="14"/>
  <c r="T37" i="14"/>
  <c r="T36" i="14"/>
  <c r="T35" i="14"/>
  <c r="T34" i="14"/>
  <c r="T32" i="14"/>
  <c r="T31" i="14"/>
  <c r="T29" i="14"/>
  <c r="T28" i="14"/>
  <c r="T27" i="14"/>
  <c r="T26" i="14"/>
  <c r="T25" i="14"/>
  <c r="T24" i="14"/>
  <c r="T22" i="14"/>
  <c r="T21" i="14"/>
  <c r="T20" i="14"/>
  <c r="T18" i="14"/>
  <c r="T17" i="14"/>
  <c r="T16" i="14"/>
  <c r="T14" i="14"/>
  <c r="T13" i="14"/>
  <c r="T12" i="14"/>
  <c r="T11" i="14"/>
  <c r="T10" i="14"/>
  <c r="T8" i="14"/>
  <c r="T7" i="14"/>
  <c r="T6" i="14"/>
  <c r="G120" i="13" l="1"/>
  <c r="G80" i="13"/>
  <c r="U120" i="13"/>
  <c r="U80" i="13"/>
  <c r="P80" i="13"/>
  <c r="O40" i="13"/>
  <c r="O120" i="13"/>
  <c r="G27" i="13"/>
  <c r="G114" i="13"/>
  <c r="O80" i="13"/>
  <c r="P120" i="13"/>
  <c r="U107" i="13"/>
  <c r="G67" i="13"/>
  <c r="U67" i="13"/>
  <c r="O67" i="13"/>
  <c r="O107" i="13"/>
  <c r="P67" i="13"/>
  <c r="P107" i="13"/>
  <c r="G107" i="13"/>
  <c r="U27" i="13"/>
  <c r="O27" i="13"/>
  <c r="P27" i="13"/>
  <c r="G34" i="13"/>
  <c r="G40" i="13"/>
  <c r="T59" i="14"/>
  <c r="O74" i="13"/>
  <c r="P34" i="13"/>
  <c r="P114" i="13"/>
  <c r="G74" i="13"/>
  <c r="O114" i="13"/>
  <c r="P40" i="13"/>
  <c r="P74" i="13"/>
  <c r="U40" i="13"/>
  <c r="O34" i="13"/>
  <c r="U74" i="13"/>
  <c r="U114" i="13"/>
  <c r="U34" i="13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O46" i="13" l="1"/>
  <c r="O48" i="13" s="1"/>
  <c r="O50" i="13" s="1"/>
  <c r="G6" i="13"/>
  <c r="G8" i="13" s="1"/>
  <c r="G10" i="13" s="1"/>
  <c r="G41" i="13"/>
  <c r="P81" i="13"/>
  <c r="P86" i="13"/>
  <c r="P88" i="13" s="1"/>
  <c r="O81" i="13"/>
  <c r="G86" i="13"/>
  <c r="G88" i="13" s="1"/>
  <c r="G90" i="13" s="1"/>
  <c r="P121" i="13"/>
  <c r="G81" i="13"/>
  <c r="P6" i="13"/>
  <c r="P8" i="13" s="1"/>
  <c r="U41" i="13"/>
  <c r="U86" i="13"/>
  <c r="U88" i="13" s="1"/>
  <c r="O121" i="13"/>
  <c r="P41" i="13"/>
  <c r="G121" i="13"/>
  <c r="G46" i="13"/>
  <c r="G48" i="13" s="1"/>
  <c r="G50" i="13" s="1"/>
  <c r="P46" i="13"/>
  <c r="P48" i="13" s="1"/>
  <c r="O86" i="13"/>
  <c r="O88" i="13" s="1"/>
  <c r="O90" i="13" s="1"/>
  <c r="O6" i="13"/>
  <c r="O8" i="13" s="1"/>
  <c r="O10" i="13" s="1"/>
  <c r="U46" i="13"/>
  <c r="U48" i="13" s="1"/>
  <c r="U6" i="13"/>
  <c r="U8" i="13" s="1"/>
  <c r="U81" i="13"/>
  <c r="U121" i="13"/>
  <c r="O41" i="13"/>
  <c r="Q501" i="25"/>
  <c r="P501" i="25"/>
  <c r="D501" i="25"/>
  <c r="Q500" i="25"/>
  <c r="P500" i="25"/>
  <c r="D500" i="25"/>
  <c r="Q499" i="25"/>
  <c r="P499" i="25"/>
  <c r="D499" i="25"/>
  <c r="Q498" i="25"/>
  <c r="P498" i="25"/>
  <c r="D498" i="25"/>
  <c r="Q497" i="25"/>
  <c r="P497" i="25"/>
  <c r="D497" i="25"/>
  <c r="Q496" i="25"/>
  <c r="P496" i="25"/>
  <c r="D496" i="25"/>
  <c r="Q495" i="25"/>
  <c r="P495" i="25"/>
  <c r="D495" i="25"/>
  <c r="Q494" i="25"/>
  <c r="P494" i="25"/>
  <c r="D494" i="25"/>
  <c r="Q493" i="25"/>
  <c r="P493" i="25"/>
  <c r="D493" i="25"/>
  <c r="Q492" i="25"/>
  <c r="P492" i="25"/>
  <c r="D492" i="25"/>
  <c r="Q491" i="25"/>
  <c r="P491" i="25"/>
  <c r="D491" i="25"/>
  <c r="Q490" i="25"/>
  <c r="P490" i="25"/>
  <c r="D490" i="25"/>
  <c r="Q489" i="25"/>
  <c r="P489" i="25"/>
  <c r="D489" i="25"/>
  <c r="Q488" i="25"/>
  <c r="P488" i="25"/>
  <c r="D488" i="25"/>
  <c r="Q487" i="25"/>
  <c r="P487" i="25"/>
  <c r="D487" i="25"/>
  <c r="Q486" i="25"/>
  <c r="P486" i="25"/>
  <c r="D486" i="25"/>
  <c r="Q485" i="25"/>
  <c r="P485" i="25"/>
  <c r="D485" i="25"/>
  <c r="Q484" i="25"/>
  <c r="P484" i="25"/>
  <c r="D484" i="25"/>
  <c r="Q483" i="25"/>
  <c r="P483" i="25"/>
  <c r="D483" i="25"/>
  <c r="Q482" i="25"/>
  <c r="P482" i="25"/>
  <c r="D482" i="25"/>
  <c r="Q481" i="25"/>
  <c r="P481" i="25"/>
  <c r="D481" i="25"/>
  <c r="Q480" i="25"/>
  <c r="P480" i="25"/>
  <c r="D480" i="25"/>
  <c r="Q479" i="25"/>
  <c r="P479" i="25"/>
  <c r="D479" i="25"/>
  <c r="Q478" i="25"/>
  <c r="P478" i="25"/>
  <c r="D478" i="25"/>
  <c r="Q477" i="25"/>
  <c r="P477" i="25"/>
  <c r="D477" i="25"/>
  <c r="Q476" i="25"/>
  <c r="P476" i="25"/>
  <c r="D476" i="25"/>
  <c r="Q475" i="25"/>
  <c r="P475" i="25"/>
  <c r="D475" i="25"/>
  <c r="Q474" i="25"/>
  <c r="P474" i="25"/>
  <c r="D474" i="25"/>
  <c r="Q473" i="25"/>
  <c r="P473" i="25"/>
  <c r="D473" i="25"/>
  <c r="Q472" i="25"/>
  <c r="P472" i="25"/>
  <c r="D472" i="25"/>
  <c r="Q471" i="25"/>
  <c r="P471" i="25"/>
  <c r="D471" i="25"/>
  <c r="Q470" i="25"/>
  <c r="P470" i="25"/>
  <c r="D470" i="25"/>
  <c r="Q469" i="25"/>
  <c r="P469" i="25"/>
  <c r="D469" i="25"/>
  <c r="Q468" i="25"/>
  <c r="P468" i="25"/>
  <c r="D468" i="25"/>
  <c r="Q467" i="25"/>
  <c r="P467" i="25"/>
  <c r="D467" i="25"/>
  <c r="Q466" i="25"/>
  <c r="P466" i="25"/>
  <c r="D466" i="25"/>
  <c r="Q465" i="25"/>
  <c r="P465" i="25"/>
  <c r="D465" i="25"/>
  <c r="Q464" i="25"/>
  <c r="P464" i="25"/>
  <c r="D464" i="25"/>
  <c r="Q463" i="25"/>
  <c r="P463" i="25"/>
  <c r="D463" i="25"/>
  <c r="Q462" i="25"/>
  <c r="P462" i="25"/>
  <c r="D462" i="25"/>
  <c r="Q461" i="25"/>
  <c r="P461" i="25"/>
  <c r="D461" i="25"/>
  <c r="Q460" i="25"/>
  <c r="P460" i="25"/>
  <c r="D460" i="25"/>
  <c r="Q459" i="25"/>
  <c r="P459" i="25"/>
  <c r="D459" i="25"/>
  <c r="Q458" i="25"/>
  <c r="P458" i="25"/>
  <c r="D458" i="25"/>
  <c r="Q457" i="25"/>
  <c r="P457" i="25"/>
  <c r="D457" i="25"/>
  <c r="Q456" i="25"/>
  <c r="P456" i="25"/>
  <c r="D456" i="25"/>
  <c r="Q455" i="25"/>
  <c r="P455" i="25"/>
  <c r="D455" i="25"/>
  <c r="Q454" i="25"/>
  <c r="P454" i="25"/>
  <c r="D454" i="25"/>
  <c r="Q453" i="25"/>
  <c r="P453" i="25"/>
  <c r="D453" i="25"/>
  <c r="Q452" i="25"/>
  <c r="P452" i="25"/>
  <c r="D452" i="25"/>
  <c r="Q451" i="25"/>
  <c r="P451" i="25"/>
  <c r="D451" i="25"/>
  <c r="Q450" i="25"/>
  <c r="P450" i="25"/>
  <c r="D450" i="25"/>
  <c r="Q449" i="25"/>
  <c r="P449" i="25"/>
  <c r="D449" i="25"/>
  <c r="Q448" i="25"/>
  <c r="P448" i="25"/>
  <c r="D448" i="25"/>
  <c r="Q447" i="25"/>
  <c r="P447" i="25"/>
  <c r="D447" i="25"/>
  <c r="Q446" i="25"/>
  <c r="P446" i="25"/>
  <c r="D446" i="25"/>
  <c r="Q445" i="25"/>
  <c r="P445" i="25"/>
  <c r="D445" i="25"/>
  <c r="Q444" i="25"/>
  <c r="P444" i="25"/>
  <c r="D444" i="25"/>
  <c r="Q443" i="25"/>
  <c r="P443" i="25"/>
  <c r="D443" i="25"/>
  <c r="Q442" i="25"/>
  <c r="P442" i="25"/>
  <c r="D442" i="25"/>
  <c r="Q441" i="25"/>
  <c r="P441" i="25"/>
  <c r="D441" i="25"/>
  <c r="Q440" i="25"/>
  <c r="P440" i="25"/>
  <c r="D440" i="25"/>
  <c r="Q439" i="25"/>
  <c r="P439" i="25"/>
  <c r="D439" i="25"/>
  <c r="Q438" i="25"/>
  <c r="P438" i="25"/>
  <c r="D438" i="25"/>
  <c r="Q437" i="25"/>
  <c r="P437" i="25"/>
  <c r="D437" i="25"/>
  <c r="Q436" i="25"/>
  <c r="P436" i="25"/>
  <c r="D436" i="25"/>
  <c r="Q435" i="25"/>
  <c r="P435" i="25"/>
  <c r="D435" i="25"/>
  <c r="Q434" i="25"/>
  <c r="P434" i="25"/>
  <c r="D434" i="25"/>
  <c r="Q433" i="25"/>
  <c r="P433" i="25"/>
  <c r="D433" i="25"/>
  <c r="Q432" i="25"/>
  <c r="P432" i="25"/>
  <c r="D432" i="25"/>
  <c r="Q431" i="25"/>
  <c r="P431" i="25"/>
  <c r="D431" i="25"/>
  <c r="Q430" i="25"/>
  <c r="P430" i="25"/>
  <c r="D430" i="25"/>
  <c r="Q429" i="25"/>
  <c r="P429" i="25"/>
  <c r="D429" i="25"/>
  <c r="Q428" i="25"/>
  <c r="P428" i="25"/>
  <c r="D428" i="25"/>
  <c r="Q427" i="25"/>
  <c r="P427" i="25"/>
  <c r="D427" i="25"/>
  <c r="Q426" i="25"/>
  <c r="P426" i="25"/>
  <c r="D426" i="25"/>
  <c r="Q425" i="25"/>
  <c r="P425" i="25"/>
  <c r="D425" i="25"/>
  <c r="Q424" i="25"/>
  <c r="P424" i="25"/>
  <c r="D424" i="25"/>
  <c r="Q423" i="25"/>
  <c r="P423" i="25"/>
  <c r="D423" i="25"/>
  <c r="Q422" i="25"/>
  <c r="P422" i="25"/>
  <c r="D422" i="25"/>
  <c r="Q421" i="25"/>
  <c r="P421" i="25"/>
  <c r="D421" i="25"/>
  <c r="Q420" i="25"/>
  <c r="P420" i="25"/>
  <c r="D420" i="25"/>
  <c r="Q419" i="25"/>
  <c r="P419" i="25"/>
  <c r="D419" i="25"/>
  <c r="Q418" i="25"/>
  <c r="P418" i="25"/>
  <c r="D418" i="25"/>
  <c r="Q417" i="25"/>
  <c r="P417" i="25"/>
  <c r="D417" i="25"/>
  <c r="Q416" i="25"/>
  <c r="P416" i="25"/>
  <c r="D416" i="25"/>
  <c r="Q415" i="25"/>
  <c r="P415" i="25"/>
  <c r="D415" i="25"/>
  <c r="Q414" i="25"/>
  <c r="P414" i="25"/>
  <c r="D414" i="25"/>
  <c r="Q413" i="25"/>
  <c r="P413" i="25"/>
  <c r="D413" i="25"/>
  <c r="Q412" i="25"/>
  <c r="P412" i="25"/>
  <c r="D412" i="25"/>
  <c r="Q411" i="25"/>
  <c r="P411" i="25"/>
  <c r="D411" i="25"/>
  <c r="Q410" i="25"/>
  <c r="P410" i="25"/>
  <c r="D410" i="25"/>
  <c r="Q409" i="25"/>
  <c r="P409" i="25"/>
  <c r="D409" i="25"/>
  <c r="Q408" i="25"/>
  <c r="P408" i="25"/>
  <c r="D408" i="25"/>
  <c r="Q407" i="25"/>
  <c r="P407" i="25"/>
  <c r="D407" i="25"/>
  <c r="Q406" i="25"/>
  <c r="P406" i="25"/>
  <c r="D406" i="25"/>
  <c r="Q405" i="25"/>
  <c r="P405" i="25"/>
  <c r="D405" i="25"/>
  <c r="Q404" i="25"/>
  <c r="P404" i="25"/>
  <c r="D404" i="25"/>
  <c r="Q403" i="25"/>
  <c r="P403" i="25"/>
  <c r="D403" i="25"/>
  <c r="Q402" i="25"/>
  <c r="P402" i="25"/>
  <c r="D402" i="25"/>
  <c r="Q401" i="25"/>
  <c r="P401" i="25"/>
  <c r="D401" i="25"/>
  <c r="Q400" i="25"/>
  <c r="P400" i="25"/>
  <c r="D400" i="25"/>
  <c r="Q399" i="25"/>
  <c r="P399" i="25"/>
  <c r="D399" i="25"/>
  <c r="Q398" i="25"/>
  <c r="P398" i="25"/>
  <c r="D398" i="25"/>
  <c r="Q397" i="25"/>
  <c r="P397" i="25"/>
  <c r="D397" i="25"/>
  <c r="Q396" i="25"/>
  <c r="P396" i="25"/>
  <c r="D396" i="25"/>
  <c r="Q395" i="25"/>
  <c r="P395" i="25"/>
  <c r="D395" i="25"/>
  <c r="Q394" i="25"/>
  <c r="P394" i="25"/>
  <c r="D394" i="25"/>
  <c r="Q393" i="25"/>
  <c r="P393" i="25"/>
  <c r="D393" i="25"/>
  <c r="Q392" i="25"/>
  <c r="P392" i="25"/>
  <c r="D392" i="25"/>
  <c r="Q391" i="25"/>
  <c r="P391" i="25"/>
  <c r="D391" i="25"/>
  <c r="Q390" i="25"/>
  <c r="P390" i="25"/>
  <c r="D390" i="25"/>
  <c r="Q389" i="25"/>
  <c r="P389" i="25"/>
  <c r="D389" i="25"/>
  <c r="Q388" i="25"/>
  <c r="P388" i="25"/>
  <c r="D388" i="25"/>
  <c r="Q387" i="25"/>
  <c r="P387" i="25"/>
  <c r="D387" i="25"/>
  <c r="Q386" i="25"/>
  <c r="P386" i="25"/>
  <c r="D386" i="25"/>
  <c r="Q385" i="25"/>
  <c r="P385" i="25"/>
  <c r="D385" i="25"/>
  <c r="Q384" i="25"/>
  <c r="P384" i="25"/>
  <c r="D384" i="25"/>
  <c r="Q383" i="25"/>
  <c r="P383" i="25"/>
  <c r="D383" i="25"/>
  <c r="Q382" i="25"/>
  <c r="P382" i="25"/>
  <c r="D382" i="25"/>
  <c r="Q381" i="25"/>
  <c r="P381" i="25"/>
  <c r="D381" i="25"/>
  <c r="Q380" i="25"/>
  <c r="P380" i="25"/>
  <c r="D380" i="25"/>
  <c r="Q379" i="25"/>
  <c r="P379" i="25"/>
  <c r="D379" i="25"/>
  <c r="Q378" i="25"/>
  <c r="P378" i="25"/>
  <c r="D378" i="25"/>
  <c r="Q377" i="25"/>
  <c r="P377" i="25"/>
  <c r="D377" i="25"/>
  <c r="Q376" i="25"/>
  <c r="P376" i="25"/>
  <c r="D376" i="25"/>
  <c r="Q375" i="25"/>
  <c r="P375" i="25"/>
  <c r="D375" i="25"/>
  <c r="Q374" i="25"/>
  <c r="P374" i="25"/>
  <c r="D374" i="25"/>
  <c r="Q373" i="25"/>
  <c r="P373" i="25"/>
  <c r="D373" i="25"/>
  <c r="Q372" i="25"/>
  <c r="P372" i="25"/>
  <c r="D372" i="25"/>
  <c r="Q371" i="25"/>
  <c r="P371" i="25"/>
  <c r="D371" i="25"/>
  <c r="Q370" i="25"/>
  <c r="P370" i="25"/>
  <c r="D370" i="25"/>
  <c r="Q369" i="25"/>
  <c r="P369" i="25"/>
  <c r="D369" i="25"/>
  <c r="Q368" i="25"/>
  <c r="P368" i="25"/>
  <c r="D368" i="25"/>
  <c r="Q367" i="25"/>
  <c r="P367" i="25"/>
  <c r="D367" i="25"/>
  <c r="Q366" i="25"/>
  <c r="P366" i="25"/>
  <c r="D366" i="25"/>
  <c r="Q365" i="25"/>
  <c r="P365" i="25"/>
  <c r="D365" i="25"/>
  <c r="Q364" i="25"/>
  <c r="P364" i="25"/>
  <c r="D364" i="25"/>
  <c r="Q363" i="25"/>
  <c r="P363" i="25"/>
  <c r="D363" i="25"/>
  <c r="Q362" i="25"/>
  <c r="P362" i="25"/>
  <c r="D362" i="25"/>
  <c r="Q361" i="25"/>
  <c r="P361" i="25"/>
  <c r="D361" i="25"/>
  <c r="Q360" i="25"/>
  <c r="P360" i="25"/>
  <c r="D360" i="25"/>
  <c r="Q359" i="25"/>
  <c r="P359" i="25"/>
  <c r="D359" i="25"/>
  <c r="Q358" i="25"/>
  <c r="P358" i="25"/>
  <c r="D358" i="25"/>
  <c r="Q357" i="25"/>
  <c r="P357" i="25"/>
  <c r="D357" i="25"/>
  <c r="Q356" i="25"/>
  <c r="P356" i="25"/>
  <c r="D356" i="25"/>
  <c r="Q355" i="25"/>
  <c r="P355" i="25"/>
  <c r="D355" i="25"/>
  <c r="Q354" i="25"/>
  <c r="P354" i="25"/>
  <c r="D354" i="25"/>
  <c r="Q353" i="25"/>
  <c r="P353" i="25"/>
  <c r="D353" i="25"/>
  <c r="Q352" i="25"/>
  <c r="P352" i="25"/>
  <c r="D352" i="25"/>
  <c r="Q351" i="25"/>
  <c r="P351" i="25"/>
  <c r="D351" i="25"/>
  <c r="Q350" i="25"/>
  <c r="P350" i="25"/>
  <c r="D350" i="25"/>
  <c r="Q349" i="25"/>
  <c r="P349" i="25"/>
  <c r="D349" i="25"/>
  <c r="Q348" i="25"/>
  <c r="P348" i="25"/>
  <c r="D348" i="25"/>
  <c r="Q347" i="25"/>
  <c r="P347" i="25"/>
  <c r="D347" i="25"/>
  <c r="Q346" i="25"/>
  <c r="P346" i="25"/>
  <c r="D346" i="25"/>
  <c r="Q345" i="25"/>
  <c r="P345" i="25"/>
  <c r="D345" i="25"/>
  <c r="Q344" i="25"/>
  <c r="P344" i="25"/>
  <c r="D344" i="25"/>
  <c r="Q343" i="25"/>
  <c r="P343" i="25"/>
  <c r="D343" i="25"/>
  <c r="Q342" i="25"/>
  <c r="P342" i="25"/>
  <c r="D342" i="25"/>
  <c r="Q341" i="25"/>
  <c r="P341" i="25"/>
  <c r="D341" i="25"/>
  <c r="Q340" i="25"/>
  <c r="P340" i="25"/>
  <c r="D340" i="25"/>
  <c r="Q339" i="25"/>
  <c r="P339" i="25"/>
  <c r="D339" i="25"/>
  <c r="Q338" i="25"/>
  <c r="P338" i="25"/>
  <c r="D338" i="25"/>
  <c r="Q337" i="25"/>
  <c r="P337" i="25"/>
  <c r="D337" i="25"/>
  <c r="Q336" i="25"/>
  <c r="P336" i="25"/>
  <c r="D336" i="25"/>
  <c r="Q335" i="25"/>
  <c r="P335" i="25"/>
  <c r="D335" i="25"/>
  <c r="Q334" i="25"/>
  <c r="P334" i="25"/>
  <c r="D334" i="25"/>
  <c r="Q333" i="25"/>
  <c r="P333" i="25"/>
  <c r="D333" i="25"/>
  <c r="Q332" i="25"/>
  <c r="P332" i="25"/>
  <c r="D332" i="25"/>
  <c r="Q331" i="25"/>
  <c r="P331" i="25"/>
  <c r="D331" i="25"/>
  <c r="Q330" i="25"/>
  <c r="P330" i="25"/>
  <c r="D330" i="25"/>
  <c r="Q329" i="25"/>
  <c r="P329" i="25"/>
  <c r="D329" i="25"/>
  <c r="Q328" i="25"/>
  <c r="P328" i="25"/>
  <c r="D328" i="25"/>
  <c r="Q327" i="25"/>
  <c r="P327" i="25"/>
  <c r="D327" i="25"/>
  <c r="Q326" i="25"/>
  <c r="P326" i="25"/>
  <c r="D326" i="25"/>
  <c r="Q325" i="25"/>
  <c r="P325" i="25"/>
  <c r="D325" i="25"/>
  <c r="Q324" i="25"/>
  <c r="P324" i="25"/>
  <c r="D324" i="25"/>
  <c r="Q323" i="25"/>
  <c r="P323" i="25"/>
  <c r="D323" i="25"/>
  <c r="Q322" i="25"/>
  <c r="P322" i="25"/>
  <c r="D322" i="25"/>
  <c r="Q321" i="25"/>
  <c r="P321" i="25"/>
  <c r="D321" i="25"/>
  <c r="Q320" i="25"/>
  <c r="P320" i="25"/>
  <c r="D320" i="25"/>
  <c r="Q319" i="25"/>
  <c r="P319" i="25"/>
  <c r="D319" i="25"/>
  <c r="Q318" i="25"/>
  <c r="P318" i="25"/>
  <c r="D318" i="25"/>
  <c r="Q317" i="25"/>
  <c r="P317" i="25"/>
  <c r="D317" i="25"/>
  <c r="Q316" i="25"/>
  <c r="P316" i="25"/>
  <c r="D316" i="25"/>
  <c r="Q315" i="25"/>
  <c r="P315" i="25"/>
  <c r="D315" i="25"/>
  <c r="Q314" i="25"/>
  <c r="P314" i="25"/>
  <c r="D314" i="25"/>
  <c r="Q313" i="25"/>
  <c r="P313" i="25"/>
  <c r="D313" i="25"/>
  <c r="Q312" i="25"/>
  <c r="P312" i="25"/>
  <c r="D312" i="25"/>
  <c r="Q311" i="25"/>
  <c r="P311" i="25"/>
  <c r="D311" i="25"/>
  <c r="Q310" i="25"/>
  <c r="P310" i="25"/>
  <c r="D310" i="25"/>
  <c r="Q309" i="25"/>
  <c r="P309" i="25"/>
  <c r="D309" i="25"/>
  <c r="Q308" i="25"/>
  <c r="P308" i="25"/>
  <c r="D308" i="25"/>
  <c r="Q307" i="25"/>
  <c r="P307" i="25"/>
  <c r="D307" i="25"/>
  <c r="Q306" i="25"/>
  <c r="P306" i="25"/>
  <c r="D306" i="25"/>
  <c r="Q305" i="25"/>
  <c r="P305" i="25"/>
  <c r="D305" i="25"/>
  <c r="Q304" i="25"/>
  <c r="P304" i="25"/>
  <c r="D304" i="25"/>
  <c r="Q303" i="25"/>
  <c r="P303" i="25"/>
  <c r="D303" i="25"/>
  <c r="Q302" i="25"/>
  <c r="P302" i="25"/>
  <c r="D302" i="25"/>
  <c r="Q301" i="25"/>
  <c r="P301" i="25"/>
  <c r="D301" i="25"/>
  <c r="Q300" i="25"/>
  <c r="P300" i="25"/>
  <c r="D300" i="25"/>
  <c r="Q299" i="25"/>
  <c r="P299" i="25"/>
  <c r="D299" i="25"/>
  <c r="Q298" i="25"/>
  <c r="P298" i="25"/>
  <c r="D298" i="25"/>
  <c r="Q297" i="25"/>
  <c r="P297" i="25"/>
  <c r="D297" i="25"/>
  <c r="Q296" i="25"/>
  <c r="P296" i="25"/>
  <c r="D296" i="25"/>
  <c r="Q295" i="25"/>
  <c r="P295" i="25"/>
  <c r="D295" i="25"/>
  <c r="Q294" i="25"/>
  <c r="P294" i="25"/>
  <c r="D294" i="25"/>
  <c r="Q293" i="25"/>
  <c r="P293" i="25"/>
  <c r="D293" i="25"/>
  <c r="Q292" i="25"/>
  <c r="P292" i="25"/>
  <c r="D292" i="25"/>
  <c r="Q291" i="25"/>
  <c r="P291" i="25"/>
  <c r="D291" i="25"/>
  <c r="Q290" i="25"/>
  <c r="P290" i="25"/>
  <c r="D290" i="25"/>
  <c r="Q289" i="25"/>
  <c r="P289" i="25"/>
  <c r="D289" i="25"/>
  <c r="Q288" i="25"/>
  <c r="P288" i="25"/>
  <c r="D288" i="25"/>
  <c r="Q287" i="25"/>
  <c r="P287" i="25"/>
  <c r="D287" i="25"/>
  <c r="Q286" i="25"/>
  <c r="P286" i="25"/>
  <c r="D286" i="25"/>
  <c r="Q285" i="25"/>
  <c r="P285" i="25"/>
  <c r="D285" i="25"/>
  <c r="Q284" i="25"/>
  <c r="P284" i="25"/>
  <c r="D284" i="25"/>
  <c r="Q283" i="25"/>
  <c r="P283" i="25"/>
  <c r="D283" i="25"/>
  <c r="Q282" i="25"/>
  <c r="P282" i="25"/>
  <c r="D282" i="25"/>
  <c r="Q281" i="25"/>
  <c r="P281" i="25"/>
  <c r="D281" i="25"/>
  <c r="Q280" i="25"/>
  <c r="P280" i="25"/>
  <c r="D280" i="25"/>
  <c r="Q279" i="25"/>
  <c r="P279" i="25"/>
  <c r="D279" i="25"/>
  <c r="Q278" i="25"/>
  <c r="P278" i="25"/>
  <c r="D278" i="25"/>
  <c r="Q277" i="25"/>
  <c r="P277" i="25"/>
  <c r="D277" i="25"/>
  <c r="Q276" i="25"/>
  <c r="P276" i="25"/>
  <c r="D276" i="25"/>
  <c r="Q275" i="25"/>
  <c r="P275" i="25"/>
  <c r="D275" i="25"/>
  <c r="Q274" i="25"/>
  <c r="P274" i="25"/>
  <c r="D274" i="25"/>
  <c r="Q273" i="25"/>
  <c r="P273" i="25"/>
  <c r="D273" i="25"/>
  <c r="Q272" i="25"/>
  <c r="P272" i="25"/>
  <c r="D272" i="25"/>
  <c r="Q271" i="25"/>
  <c r="P271" i="25"/>
  <c r="D271" i="25"/>
  <c r="Q270" i="25"/>
  <c r="P270" i="25"/>
  <c r="D270" i="25"/>
  <c r="Q269" i="25"/>
  <c r="P269" i="25"/>
  <c r="D269" i="25"/>
  <c r="Q268" i="25"/>
  <c r="P268" i="25"/>
  <c r="D268" i="25"/>
  <c r="Q267" i="25"/>
  <c r="P267" i="25"/>
  <c r="D267" i="25"/>
  <c r="Q266" i="25"/>
  <c r="P266" i="25"/>
  <c r="D266" i="25"/>
  <c r="Q265" i="25"/>
  <c r="P265" i="25"/>
  <c r="D265" i="25"/>
  <c r="Q264" i="25"/>
  <c r="P264" i="25"/>
  <c r="D264" i="25"/>
  <c r="Q263" i="25"/>
  <c r="P263" i="25"/>
  <c r="D263" i="25"/>
  <c r="Q262" i="25"/>
  <c r="P262" i="25"/>
  <c r="D262" i="25"/>
  <c r="Q261" i="25"/>
  <c r="P261" i="25"/>
  <c r="D261" i="25"/>
  <c r="Q260" i="25"/>
  <c r="P260" i="25"/>
  <c r="D260" i="25"/>
  <c r="Q259" i="25"/>
  <c r="P259" i="25"/>
  <c r="D259" i="25"/>
  <c r="Q258" i="25"/>
  <c r="P258" i="25"/>
  <c r="D258" i="25"/>
  <c r="Q257" i="25"/>
  <c r="P257" i="25"/>
  <c r="D257" i="25"/>
  <c r="Q256" i="25"/>
  <c r="P256" i="25"/>
  <c r="D256" i="25"/>
  <c r="Q255" i="25"/>
  <c r="P255" i="25"/>
  <c r="D255" i="25"/>
  <c r="Q254" i="25"/>
  <c r="P254" i="25"/>
  <c r="D254" i="25"/>
  <c r="Q253" i="25"/>
  <c r="P253" i="25"/>
  <c r="D253" i="25"/>
  <c r="Q252" i="25"/>
  <c r="P252" i="25"/>
  <c r="D252" i="25"/>
  <c r="Q251" i="25"/>
  <c r="P251" i="25"/>
  <c r="D251" i="25"/>
  <c r="Q250" i="25"/>
  <c r="P250" i="25"/>
  <c r="D250" i="25"/>
  <c r="Q249" i="25"/>
  <c r="P249" i="25"/>
  <c r="D249" i="25"/>
  <c r="Q248" i="25"/>
  <c r="P248" i="25"/>
  <c r="D248" i="25"/>
  <c r="Q247" i="25"/>
  <c r="P247" i="25"/>
  <c r="D247" i="25"/>
  <c r="Q246" i="25"/>
  <c r="P246" i="25"/>
  <c r="D246" i="25"/>
  <c r="Q245" i="25"/>
  <c r="P245" i="25"/>
  <c r="D245" i="25"/>
  <c r="Q244" i="25"/>
  <c r="P244" i="25"/>
  <c r="D244" i="25"/>
  <c r="Q243" i="25"/>
  <c r="P243" i="25"/>
  <c r="D243" i="25"/>
  <c r="Q242" i="25"/>
  <c r="P242" i="25"/>
  <c r="D242" i="25"/>
  <c r="Q241" i="25"/>
  <c r="P241" i="25"/>
  <c r="D241" i="25"/>
  <c r="Q240" i="25"/>
  <c r="P240" i="25"/>
  <c r="D240" i="25"/>
  <c r="Q239" i="25"/>
  <c r="P239" i="25"/>
  <c r="D239" i="25"/>
  <c r="Q238" i="25"/>
  <c r="P238" i="25"/>
  <c r="D238" i="25"/>
  <c r="Q237" i="25"/>
  <c r="P237" i="25"/>
  <c r="D237" i="25"/>
  <c r="Q236" i="25"/>
  <c r="P236" i="25"/>
  <c r="D236" i="25"/>
  <c r="Q235" i="25"/>
  <c r="P235" i="25"/>
  <c r="D235" i="25"/>
  <c r="Q234" i="25"/>
  <c r="P234" i="25"/>
  <c r="D234" i="25"/>
  <c r="Q233" i="25"/>
  <c r="P233" i="25"/>
  <c r="D233" i="25"/>
  <c r="Q232" i="25"/>
  <c r="P232" i="25"/>
  <c r="D232" i="25"/>
  <c r="Q231" i="25"/>
  <c r="P231" i="25"/>
  <c r="D231" i="25"/>
  <c r="Q230" i="25"/>
  <c r="P230" i="25"/>
  <c r="D230" i="25"/>
  <c r="Q229" i="25"/>
  <c r="P229" i="25"/>
  <c r="D229" i="25"/>
  <c r="Q228" i="25"/>
  <c r="P228" i="25"/>
  <c r="D228" i="25"/>
  <c r="Q227" i="25"/>
  <c r="P227" i="25"/>
  <c r="D227" i="25"/>
  <c r="Q226" i="25"/>
  <c r="P226" i="25"/>
  <c r="D226" i="25"/>
  <c r="Q225" i="25"/>
  <c r="P225" i="25"/>
  <c r="D225" i="25"/>
  <c r="Q224" i="25"/>
  <c r="P224" i="25"/>
  <c r="D224" i="25"/>
  <c r="Q223" i="25"/>
  <c r="P223" i="25"/>
  <c r="D223" i="25"/>
  <c r="Q222" i="25"/>
  <c r="P222" i="25"/>
  <c r="D222" i="25"/>
  <c r="Q221" i="25"/>
  <c r="P221" i="25"/>
  <c r="D221" i="25"/>
  <c r="Q220" i="25"/>
  <c r="P220" i="25"/>
  <c r="D220" i="25"/>
  <c r="Q219" i="25"/>
  <c r="P219" i="25"/>
  <c r="D219" i="25"/>
  <c r="Q218" i="25"/>
  <c r="P218" i="25"/>
  <c r="D218" i="25"/>
  <c r="Q217" i="25"/>
  <c r="P217" i="25"/>
  <c r="D217" i="25"/>
  <c r="Q216" i="25"/>
  <c r="P216" i="25"/>
  <c r="D216" i="25"/>
  <c r="Q215" i="25"/>
  <c r="P215" i="25"/>
  <c r="D215" i="25"/>
  <c r="Q214" i="25"/>
  <c r="P214" i="25"/>
  <c r="D214" i="25"/>
  <c r="Q213" i="25"/>
  <c r="P213" i="25"/>
  <c r="D213" i="25"/>
  <c r="Q212" i="25"/>
  <c r="P212" i="25"/>
  <c r="D212" i="25"/>
  <c r="Q211" i="25"/>
  <c r="P211" i="25"/>
  <c r="D211" i="25"/>
  <c r="Q210" i="25"/>
  <c r="P210" i="25"/>
  <c r="D210" i="25"/>
  <c r="Q209" i="25"/>
  <c r="P209" i="25"/>
  <c r="D209" i="25"/>
  <c r="Q208" i="25"/>
  <c r="P208" i="25"/>
  <c r="D208" i="25"/>
  <c r="Q207" i="25"/>
  <c r="P207" i="25"/>
  <c r="D207" i="25"/>
  <c r="Q206" i="25"/>
  <c r="P206" i="25"/>
  <c r="D206" i="25"/>
  <c r="Q205" i="25"/>
  <c r="P205" i="25"/>
  <c r="D205" i="25"/>
  <c r="Q204" i="25"/>
  <c r="P204" i="25"/>
  <c r="D204" i="25"/>
  <c r="Q203" i="25"/>
  <c r="P203" i="25"/>
  <c r="D203" i="25"/>
  <c r="Q202" i="25"/>
  <c r="P202" i="25"/>
  <c r="D202" i="25"/>
  <c r="Q201" i="25"/>
  <c r="P201" i="25"/>
  <c r="D201" i="25"/>
  <c r="Q200" i="25"/>
  <c r="P200" i="25"/>
  <c r="D200" i="25"/>
  <c r="Q199" i="25"/>
  <c r="P199" i="25"/>
  <c r="D199" i="25"/>
  <c r="Q198" i="25"/>
  <c r="P198" i="25"/>
  <c r="D198" i="25"/>
  <c r="Q197" i="25"/>
  <c r="P197" i="25"/>
  <c r="D197" i="25"/>
  <c r="Q196" i="25"/>
  <c r="P196" i="25"/>
  <c r="D196" i="25"/>
  <c r="Q195" i="25"/>
  <c r="P195" i="25"/>
  <c r="D195" i="25"/>
  <c r="Q194" i="25"/>
  <c r="P194" i="25"/>
  <c r="D194" i="25"/>
  <c r="Q193" i="25"/>
  <c r="P193" i="25"/>
  <c r="D193" i="25"/>
  <c r="Q192" i="25"/>
  <c r="P192" i="25"/>
  <c r="D192" i="25"/>
  <c r="Q191" i="25"/>
  <c r="P191" i="25"/>
  <c r="D191" i="25"/>
  <c r="Q190" i="25"/>
  <c r="P190" i="25"/>
  <c r="D190" i="25"/>
  <c r="Q189" i="25"/>
  <c r="P189" i="25"/>
  <c r="D189" i="25"/>
  <c r="Q188" i="25"/>
  <c r="P188" i="25"/>
  <c r="D188" i="25"/>
  <c r="Q187" i="25"/>
  <c r="P187" i="25"/>
  <c r="D187" i="25"/>
  <c r="Q186" i="25"/>
  <c r="P186" i="25"/>
  <c r="D186" i="25"/>
  <c r="Q185" i="25"/>
  <c r="P185" i="25"/>
  <c r="D185" i="25"/>
  <c r="Q184" i="25"/>
  <c r="P184" i="25"/>
  <c r="D184" i="25"/>
  <c r="Q183" i="25"/>
  <c r="P183" i="25"/>
  <c r="D183" i="25"/>
  <c r="Q182" i="25"/>
  <c r="P182" i="25"/>
  <c r="D182" i="25"/>
  <c r="Q181" i="25"/>
  <c r="P181" i="25"/>
  <c r="D181" i="25"/>
  <c r="Q180" i="25"/>
  <c r="P180" i="25"/>
  <c r="D180" i="25"/>
  <c r="Q179" i="25"/>
  <c r="P179" i="25"/>
  <c r="D179" i="25"/>
  <c r="Q178" i="25"/>
  <c r="P178" i="25"/>
  <c r="D178" i="25"/>
  <c r="Q177" i="25"/>
  <c r="P177" i="25"/>
  <c r="D177" i="25"/>
  <c r="Q176" i="25"/>
  <c r="P176" i="25"/>
  <c r="D176" i="25"/>
  <c r="Q175" i="25"/>
  <c r="P175" i="25"/>
  <c r="D175" i="25"/>
  <c r="Q174" i="25"/>
  <c r="P174" i="25"/>
  <c r="D174" i="25"/>
  <c r="Q173" i="25"/>
  <c r="P173" i="25"/>
  <c r="D173" i="25"/>
  <c r="Q172" i="25"/>
  <c r="P172" i="25"/>
  <c r="D172" i="25"/>
  <c r="Q171" i="25"/>
  <c r="P171" i="25"/>
  <c r="D171" i="25"/>
  <c r="Q170" i="25"/>
  <c r="P170" i="25"/>
  <c r="D170" i="25"/>
  <c r="Q169" i="25"/>
  <c r="P169" i="25"/>
  <c r="D169" i="25"/>
  <c r="Q168" i="25"/>
  <c r="P168" i="25"/>
  <c r="D168" i="25"/>
  <c r="Q167" i="25"/>
  <c r="P167" i="25"/>
  <c r="D167" i="25"/>
  <c r="Q166" i="25"/>
  <c r="P166" i="25"/>
  <c r="D166" i="25"/>
  <c r="Q165" i="25"/>
  <c r="P165" i="25"/>
  <c r="D165" i="25"/>
  <c r="Q164" i="25"/>
  <c r="P164" i="25"/>
  <c r="D164" i="25"/>
  <c r="Q163" i="25"/>
  <c r="P163" i="25"/>
  <c r="D163" i="25"/>
  <c r="Q162" i="25"/>
  <c r="P162" i="25"/>
  <c r="D162" i="25"/>
  <c r="Q161" i="25"/>
  <c r="P161" i="25"/>
  <c r="D161" i="25"/>
  <c r="Q160" i="25"/>
  <c r="P160" i="25"/>
  <c r="D160" i="25"/>
  <c r="Q159" i="25"/>
  <c r="P159" i="25"/>
  <c r="D159" i="25"/>
  <c r="Q158" i="25"/>
  <c r="P158" i="25"/>
  <c r="D158" i="25"/>
  <c r="Q157" i="25"/>
  <c r="P157" i="25"/>
  <c r="D157" i="25"/>
  <c r="Q156" i="25"/>
  <c r="P156" i="25"/>
  <c r="D156" i="25"/>
  <c r="Q155" i="25"/>
  <c r="P155" i="25"/>
  <c r="D155" i="25"/>
  <c r="Q154" i="25"/>
  <c r="P154" i="25"/>
  <c r="D154" i="25"/>
  <c r="Q153" i="25"/>
  <c r="P153" i="25"/>
  <c r="D153" i="25"/>
  <c r="Q152" i="25"/>
  <c r="P152" i="25"/>
  <c r="D152" i="25"/>
  <c r="Q151" i="25"/>
  <c r="P151" i="25"/>
  <c r="D151" i="25"/>
  <c r="Q150" i="25"/>
  <c r="P150" i="25"/>
  <c r="D150" i="25"/>
  <c r="Q149" i="25"/>
  <c r="P149" i="25"/>
  <c r="D149" i="25"/>
  <c r="Q148" i="25"/>
  <c r="P148" i="25"/>
  <c r="D148" i="25"/>
  <c r="Q147" i="25"/>
  <c r="P147" i="25"/>
  <c r="D147" i="25"/>
  <c r="Q146" i="25"/>
  <c r="P146" i="25"/>
  <c r="D146" i="25"/>
  <c r="Q145" i="25"/>
  <c r="P145" i="25"/>
  <c r="D145" i="25"/>
  <c r="Q144" i="25"/>
  <c r="P144" i="25"/>
  <c r="D144" i="25"/>
  <c r="Q143" i="25"/>
  <c r="P143" i="25"/>
  <c r="D143" i="25"/>
  <c r="Q142" i="25"/>
  <c r="P142" i="25"/>
  <c r="D142" i="25"/>
  <c r="Q141" i="25"/>
  <c r="P141" i="25"/>
  <c r="D141" i="25"/>
  <c r="Q140" i="25"/>
  <c r="P140" i="25"/>
  <c r="D140" i="25"/>
  <c r="Q139" i="25"/>
  <c r="P139" i="25"/>
  <c r="D139" i="25"/>
  <c r="Q138" i="25"/>
  <c r="P138" i="25"/>
  <c r="D138" i="25"/>
  <c r="Q137" i="25"/>
  <c r="P137" i="25"/>
  <c r="D137" i="25"/>
  <c r="Q136" i="25"/>
  <c r="P136" i="25"/>
  <c r="D136" i="25"/>
  <c r="Q135" i="25"/>
  <c r="P135" i="25"/>
  <c r="D135" i="25"/>
  <c r="Q134" i="25"/>
  <c r="P134" i="25"/>
  <c r="D134" i="25"/>
  <c r="Q133" i="25"/>
  <c r="P133" i="25"/>
  <c r="D133" i="25"/>
  <c r="Q132" i="25"/>
  <c r="P132" i="25"/>
  <c r="D132" i="25"/>
  <c r="Q131" i="25"/>
  <c r="P131" i="25"/>
  <c r="D131" i="25"/>
  <c r="Q130" i="25"/>
  <c r="P130" i="25"/>
  <c r="D130" i="25"/>
  <c r="Y129" i="25"/>
  <c r="X129" i="25"/>
  <c r="Q129" i="25"/>
  <c r="P129" i="25"/>
  <c r="D129" i="25"/>
  <c r="Y128" i="25"/>
  <c r="X128" i="25"/>
  <c r="Q128" i="25"/>
  <c r="P128" i="25"/>
  <c r="D128" i="25"/>
  <c r="Y127" i="25"/>
  <c r="X127" i="25"/>
  <c r="Q127" i="25"/>
  <c r="P127" i="25"/>
  <c r="D127" i="25"/>
  <c r="Y126" i="25"/>
  <c r="X126" i="25"/>
  <c r="Q126" i="25"/>
  <c r="P126" i="25"/>
  <c r="D126" i="25"/>
  <c r="Y125" i="25"/>
  <c r="X125" i="25"/>
  <c r="Q125" i="25"/>
  <c r="P125" i="25"/>
  <c r="D125" i="25"/>
  <c r="Y124" i="25"/>
  <c r="X124" i="25"/>
  <c r="Q124" i="25"/>
  <c r="P124" i="25"/>
  <c r="D124" i="25"/>
  <c r="Y123" i="25"/>
  <c r="X123" i="25"/>
  <c r="Q123" i="25"/>
  <c r="P123" i="25"/>
  <c r="D123" i="25"/>
  <c r="Y122" i="25"/>
  <c r="X122" i="25"/>
  <c r="Q122" i="25"/>
  <c r="P122" i="25"/>
  <c r="D122" i="25"/>
  <c r="Y121" i="25"/>
  <c r="X121" i="25"/>
  <c r="Q121" i="25"/>
  <c r="P121" i="25"/>
  <c r="D121" i="25"/>
  <c r="Y120" i="25"/>
  <c r="X120" i="25"/>
  <c r="Q120" i="25"/>
  <c r="P120" i="25"/>
  <c r="D120" i="25"/>
  <c r="Y119" i="25"/>
  <c r="X119" i="25"/>
  <c r="Q119" i="25"/>
  <c r="P119" i="25"/>
  <c r="D119" i="25"/>
  <c r="Y118" i="25"/>
  <c r="X118" i="25"/>
  <c r="Q118" i="25"/>
  <c r="P118" i="25"/>
  <c r="D118" i="25"/>
  <c r="Y117" i="25"/>
  <c r="X117" i="25"/>
  <c r="Q117" i="25"/>
  <c r="P117" i="25"/>
  <c r="D117" i="25"/>
  <c r="Y116" i="25"/>
  <c r="X116" i="25"/>
  <c r="Q116" i="25"/>
  <c r="P116" i="25"/>
  <c r="D116" i="25"/>
  <c r="Y115" i="25"/>
  <c r="X115" i="25"/>
  <c r="Q115" i="25"/>
  <c r="P115" i="25"/>
  <c r="D115" i="25"/>
  <c r="Y114" i="25"/>
  <c r="X114" i="25"/>
  <c r="Q114" i="25"/>
  <c r="P114" i="25"/>
  <c r="D114" i="25"/>
  <c r="Y113" i="25"/>
  <c r="X113" i="25"/>
  <c r="Q113" i="25"/>
  <c r="P113" i="25"/>
  <c r="D113" i="25"/>
  <c r="Y112" i="25"/>
  <c r="X112" i="25"/>
  <c r="Q112" i="25"/>
  <c r="P112" i="25"/>
  <c r="D112" i="25"/>
  <c r="Y111" i="25"/>
  <c r="X111" i="25"/>
  <c r="Q111" i="25"/>
  <c r="P111" i="25"/>
  <c r="D111" i="25"/>
  <c r="Y110" i="25"/>
  <c r="X110" i="25"/>
  <c r="Q110" i="25"/>
  <c r="P110" i="25"/>
  <c r="D110" i="25"/>
  <c r="Y109" i="25"/>
  <c r="X109" i="25"/>
  <c r="Q109" i="25"/>
  <c r="P109" i="25"/>
  <c r="D109" i="25"/>
  <c r="Y108" i="25"/>
  <c r="X108" i="25"/>
  <c r="Q108" i="25"/>
  <c r="P108" i="25"/>
  <c r="D108" i="25"/>
  <c r="Y107" i="25"/>
  <c r="X107" i="25"/>
  <c r="Q107" i="25"/>
  <c r="P107" i="25"/>
  <c r="D107" i="25"/>
  <c r="Y106" i="25"/>
  <c r="X106" i="25"/>
  <c r="Q106" i="25"/>
  <c r="P106" i="25"/>
  <c r="D106" i="25"/>
  <c r="Y105" i="25"/>
  <c r="X105" i="25"/>
  <c r="Q105" i="25"/>
  <c r="P105" i="25"/>
  <c r="D105" i="25"/>
  <c r="Y104" i="25"/>
  <c r="X104" i="25"/>
  <c r="Q104" i="25"/>
  <c r="P104" i="25"/>
  <c r="D104" i="25"/>
  <c r="Y103" i="25"/>
  <c r="X103" i="25"/>
  <c r="Q103" i="25"/>
  <c r="P103" i="25"/>
  <c r="D103" i="25"/>
  <c r="Y102" i="25"/>
  <c r="X102" i="25"/>
  <c r="Q102" i="25"/>
  <c r="P102" i="25"/>
  <c r="D102" i="25"/>
  <c r="Y101" i="25"/>
  <c r="X101" i="25"/>
  <c r="Q101" i="25"/>
  <c r="P101" i="25"/>
  <c r="D101" i="25"/>
  <c r="Y100" i="25"/>
  <c r="X100" i="25"/>
  <c r="Q100" i="25"/>
  <c r="P100" i="25"/>
  <c r="D100" i="25"/>
  <c r="Y99" i="25"/>
  <c r="X99" i="25"/>
  <c r="Q99" i="25"/>
  <c r="P99" i="25"/>
  <c r="D99" i="25"/>
  <c r="Y98" i="25"/>
  <c r="X98" i="25"/>
  <c r="Q98" i="25"/>
  <c r="P98" i="25"/>
  <c r="D98" i="25"/>
  <c r="Y97" i="25"/>
  <c r="X97" i="25"/>
  <c r="Q97" i="25"/>
  <c r="P97" i="25"/>
  <c r="D97" i="25"/>
  <c r="Y96" i="25"/>
  <c r="X96" i="25"/>
  <c r="Q96" i="25"/>
  <c r="P96" i="25"/>
  <c r="D96" i="25"/>
  <c r="Y95" i="25"/>
  <c r="X95" i="25"/>
  <c r="Q95" i="25"/>
  <c r="P95" i="25"/>
  <c r="D95" i="25"/>
  <c r="Y94" i="25"/>
  <c r="X94" i="25"/>
  <c r="Q94" i="25"/>
  <c r="P94" i="25"/>
  <c r="D94" i="25"/>
  <c r="Y93" i="25"/>
  <c r="X93" i="25"/>
  <c r="Q93" i="25"/>
  <c r="P93" i="25"/>
  <c r="D93" i="25"/>
  <c r="Y92" i="25"/>
  <c r="X92" i="25"/>
  <c r="Q92" i="25"/>
  <c r="P92" i="25"/>
  <c r="D92" i="25"/>
  <c r="Y91" i="25"/>
  <c r="X91" i="25"/>
  <c r="Q91" i="25"/>
  <c r="P91" i="25"/>
  <c r="D91" i="25"/>
  <c r="Y90" i="25"/>
  <c r="X90" i="25"/>
  <c r="Q90" i="25"/>
  <c r="P90" i="25"/>
  <c r="D90" i="25"/>
  <c r="Y89" i="25"/>
  <c r="X89" i="25"/>
  <c r="Q89" i="25"/>
  <c r="P89" i="25"/>
  <c r="D89" i="25"/>
  <c r="Y88" i="25"/>
  <c r="X88" i="25"/>
  <c r="Q88" i="25"/>
  <c r="P88" i="25"/>
  <c r="D88" i="25"/>
  <c r="Y87" i="25"/>
  <c r="X87" i="25"/>
  <c r="Q87" i="25"/>
  <c r="P87" i="25"/>
  <c r="D87" i="25"/>
  <c r="Y86" i="25"/>
  <c r="X86" i="25"/>
  <c r="Q86" i="25"/>
  <c r="P86" i="25"/>
  <c r="D86" i="25"/>
  <c r="Y85" i="25"/>
  <c r="X85" i="25"/>
  <c r="Q85" i="25"/>
  <c r="P85" i="25"/>
  <c r="D85" i="25"/>
  <c r="Y84" i="25"/>
  <c r="X84" i="25"/>
  <c r="Q84" i="25"/>
  <c r="P84" i="25"/>
  <c r="D84" i="25"/>
  <c r="Y83" i="25"/>
  <c r="X83" i="25"/>
  <c r="Q83" i="25"/>
  <c r="P83" i="25"/>
  <c r="D83" i="25"/>
  <c r="Y82" i="25"/>
  <c r="X82" i="25"/>
  <c r="Q82" i="25"/>
  <c r="P82" i="25"/>
  <c r="D82" i="25"/>
  <c r="Y81" i="25"/>
  <c r="X81" i="25"/>
  <c r="Q81" i="25"/>
  <c r="P81" i="25"/>
  <c r="D81" i="25"/>
  <c r="Y80" i="25"/>
  <c r="X80" i="25"/>
  <c r="Q80" i="25"/>
  <c r="P80" i="25"/>
  <c r="D80" i="25"/>
  <c r="Y79" i="25"/>
  <c r="X79" i="25"/>
  <c r="Q79" i="25"/>
  <c r="P79" i="25"/>
  <c r="D79" i="25"/>
  <c r="Y78" i="25"/>
  <c r="X78" i="25"/>
  <c r="Q78" i="25"/>
  <c r="P78" i="25"/>
  <c r="D78" i="25"/>
  <c r="Y77" i="25"/>
  <c r="X77" i="25"/>
  <c r="Q77" i="25"/>
  <c r="P77" i="25"/>
  <c r="D77" i="25"/>
  <c r="Y76" i="25"/>
  <c r="X76" i="25"/>
  <c r="Q76" i="25"/>
  <c r="P76" i="25"/>
  <c r="D76" i="25"/>
  <c r="Y75" i="25"/>
  <c r="X75" i="25"/>
  <c r="Q75" i="25"/>
  <c r="P75" i="25"/>
  <c r="D75" i="25"/>
  <c r="Y74" i="25"/>
  <c r="X74" i="25"/>
  <c r="Q74" i="25"/>
  <c r="P74" i="25"/>
  <c r="D74" i="25"/>
  <c r="Y73" i="25"/>
  <c r="X73" i="25"/>
  <c r="Q73" i="25"/>
  <c r="P73" i="25"/>
  <c r="D73" i="25"/>
  <c r="Y72" i="25"/>
  <c r="X72" i="25"/>
  <c r="Q72" i="25"/>
  <c r="P72" i="25"/>
  <c r="D72" i="25"/>
  <c r="Y71" i="25"/>
  <c r="X71" i="25"/>
  <c r="Q71" i="25"/>
  <c r="P71" i="25"/>
  <c r="D71" i="25"/>
  <c r="Y70" i="25"/>
  <c r="X70" i="25"/>
  <c r="Q70" i="25"/>
  <c r="P70" i="25"/>
  <c r="D70" i="25"/>
  <c r="Y69" i="25"/>
  <c r="X69" i="25"/>
  <c r="Q69" i="25"/>
  <c r="P69" i="25"/>
  <c r="D69" i="25"/>
  <c r="Y68" i="25"/>
  <c r="X68" i="25"/>
  <c r="Q68" i="25"/>
  <c r="P68" i="25"/>
  <c r="D68" i="25"/>
  <c r="Y67" i="25"/>
  <c r="X67" i="25"/>
  <c r="Q67" i="25"/>
  <c r="P67" i="25"/>
  <c r="D67" i="25"/>
  <c r="Y66" i="25"/>
  <c r="X66" i="25"/>
  <c r="Q66" i="25"/>
  <c r="P66" i="25"/>
  <c r="D66" i="25"/>
  <c r="Y65" i="25"/>
  <c r="X65" i="25"/>
  <c r="Q65" i="25"/>
  <c r="P65" i="25"/>
  <c r="D65" i="25"/>
  <c r="Y64" i="25"/>
  <c r="X64" i="25"/>
  <c r="Q64" i="25"/>
  <c r="P64" i="25"/>
  <c r="D64" i="25"/>
  <c r="Y63" i="25"/>
  <c r="X63" i="25"/>
  <c r="Q63" i="25"/>
  <c r="P63" i="25"/>
  <c r="D63" i="25"/>
  <c r="Y62" i="25"/>
  <c r="X62" i="25"/>
  <c r="Q62" i="25"/>
  <c r="P62" i="25"/>
  <c r="D62" i="25"/>
  <c r="Y61" i="25"/>
  <c r="X61" i="25"/>
  <c r="Q61" i="25"/>
  <c r="P61" i="25"/>
  <c r="D61" i="25"/>
  <c r="Y60" i="25"/>
  <c r="X60" i="25"/>
  <c r="Q60" i="25"/>
  <c r="P60" i="25"/>
  <c r="D60" i="25"/>
  <c r="Y59" i="25"/>
  <c r="X59" i="25"/>
  <c r="Q59" i="25"/>
  <c r="P59" i="25"/>
  <c r="D59" i="25"/>
  <c r="Y58" i="25"/>
  <c r="X58" i="25"/>
  <c r="Q58" i="25"/>
  <c r="P58" i="25"/>
  <c r="D58" i="25"/>
  <c r="Y57" i="25"/>
  <c r="X57" i="25"/>
  <c r="Q57" i="25"/>
  <c r="P57" i="25"/>
  <c r="D57" i="25"/>
  <c r="Y56" i="25"/>
  <c r="X56" i="25"/>
  <c r="Q56" i="25"/>
  <c r="P56" i="25"/>
  <c r="D56" i="25"/>
  <c r="Y55" i="25"/>
  <c r="X55" i="25"/>
  <c r="Q55" i="25"/>
  <c r="P55" i="25"/>
  <c r="D55" i="25"/>
  <c r="Y54" i="25"/>
  <c r="X54" i="25"/>
  <c r="Q54" i="25"/>
  <c r="P54" i="25"/>
  <c r="D54" i="25"/>
  <c r="Y53" i="25"/>
  <c r="X53" i="25"/>
  <c r="Q53" i="25"/>
  <c r="P53" i="25"/>
  <c r="D53" i="25"/>
  <c r="Y52" i="25"/>
  <c r="X52" i="25"/>
  <c r="Q52" i="25"/>
  <c r="P52" i="25"/>
  <c r="D52" i="25"/>
  <c r="Y51" i="25"/>
  <c r="X51" i="25"/>
  <c r="Q51" i="25"/>
  <c r="P51" i="25"/>
  <c r="D51" i="25"/>
  <c r="Y50" i="25"/>
  <c r="X50" i="25"/>
  <c r="Q50" i="25"/>
  <c r="P50" i="25"/>
  <c r="D50" i="25"/>
  <c r="Y49" i="25"/>
  <c r="X49" i="25"/>
  <c r="Q49" i="25"/>
  <c r="P49" i="25"/>
  <c r="D49" i="25"/>
  <c r="Y48" i="25"/>
  <c r="X48" i="25"/>
  <c r="Q48" i="25"/>
  <c r="P48" i="25"/>
  <c r="D48" i="25"/>
  <c r="Y47" i="25"/>
  <c r="X47" i="25"/>
  <c r="Q47" i="25"/>
  <c r="P47" i="25"/>
  <c r="D47" i="25"/>
  <c r="Y46" i="25"/>
  <c r="X46" i="25"/>
  <c r="Q46" i="25"/>
  <c r="P46" i="25"/>
  <c r="D46" i="25"/>
  <c r="Y45" i="25"/>
  <c r="X45" i="25"/>
  <c r="Q45" i="25"/>
  <c r="P45" i="25"/>
  <c r="D45" i="25"/>
  <c r="Y44" i="25"/>
  <c r="X44" i="25"/>
  <c r="Q44" i="25"/>
  <c r="P44" i="25"/>
  <c r="D44" i="25"/>
  <c r="Y43" i="25"/>
  <c r="X43" i="25"/>
  <c r="Q43" i="25"/>
  <c r="P43" i="25"/>
  <c r="D43" i="25"/>
  <c r="Y42" i="25"/>
  <c r="X42" i="25"/>
  <c r="Q42" i="25"/>
  <c r="P42" i="25"/>
  <c r="D42" i="25"/>
  <c r="Y41" i="25"/>
  <c r="X41" i="25"/>
  <c r="Q41" i="25"/>
  <c r="P41" i="25"/>
  <c r="D41" i="25"/>
  <c r="Y40" i="25"/>
  <c r="X40" i="25"/>
  <c r="Q40" i="25"/>
  <c r="P40" i="25"/>
  <c r="D40" i="25"/>
  <c r="Y39" i="25"/>
  <c r="X39" i="25"/>
  <c r="Q39" i="25"/>
  <c r="P39" i="25"/>
  <c r="D39" i="25"/>
  <c r="Y38" i="25"/>
  <c r="X38" i="25"/>
  <c r="Q38" i="25"/>
  <c r="P38" i="25"/>
  <c r="D38" i="25"/>
  <c r="Y37" i="25"/>
  <c r="X37" i="25"/>
  <c r="Q37" i="25"/>
  <c r="P37" i="25"/>
  <c r="D37" i="25"/>
  <c r="Y36" i="25"/>
  <c r="X36" i="25"/>
  <c r="Q36" i="25"/>
  <c r="P36" i="25"/>
  <c r="D36" i="25"/>
  <c r="Y35" i="25"/>
  <c r="X35" i="25"/>
  <c r="Q35" i="25"/>
  <c r="P35" i="25"/>
  <c r="D35" i="25"/>
  <c r="Y34" i="25"/>
  <c r="X34" i="25"/>
  <c r="Q34" i="25"/>
  <c r="P34" i="25"/>
  <c r="D34" i="25"/>
  <c r="Y33" i="25"/>
  <c r="X33" i="25"/>
  <c r="Q33" i="25"/>
  <c r="P33" i="25"/>
  <c r="D33" i="25"/>
  <c r="Y32" i="25"/>
  <c r="X32" i="25"/>
  <c r="Q32" i="25"/>
  <c r="P32" i="25"/>
  <c r="D32" i="25"/>
  <c r="Y31" i="25"/>
  <c r="X31" i="25"/>
  <c r="Q31" i="25"/>
  <c r="P31" i="25"/>
  <c r="D31" i="25"/>
  <c r="Y30" i="25"/>
  <c r="X30" i="25"/>
  <c r="Q30" i="25"/>
  <c r="P30" i="25"/>
  <c r="D30" i="25"/>
  <c r="Y29" i="25"/>
  <c r="X29" i="25"/>
  <c r="Q29" i="25"/>
  <c r="P29" i="25"/>
  <c r="D29" i="25"/>
  <c r="Y28" i="25"/>
  <c r="X28" i="25"/>
  <c r="Q28" i="25"/>
  <c r="P28" i="25"/>
  <c r="D28" i="25"/>
  <c r="Y27" i="25"/>
  <c r="X27" i="25"/>
  <c r="Q27" i="25"/>
  <c r="P27" i="25"/>
  <c r="D27" i="25"/>
  <c r="Y26" i="25"/>
  <c r="X26" i="25"/>
  <c r="Q26" i="25"/>
  <c r="P26" i="25"/>
  <c r="D26" i="25"/>
  <c r="Y25" i="25"/>
  <c r="X25" i="25"/>
  <c r="Q25" i="25"/>
  <c r="P25" i="25"/>
  <c r="D25" i="25"/>
  <c r="Y24" i="25"/>
  <c r="X24" i="25"/>
  <c r="Q24" i="25"/>
  <c r="P24" i="25"/>
  <c r="D24" i="25"/>
  <c r="Y23" i="25"/>
  <c r="X23" i="25"/>
  <c r="Q23" i="25"/>
  <c r="P23" i="25"/>
  <c r="D23" i="25"/>
  <c r="Y22" i="25"/>
  <c r="X22" i="25"/>
  <c r="Q22" i="25"/>
  <c r="P22" i="25"/>
  <c r="D22" i="25"/>
  <c r="Y21" i="25"/>
  <c r="X21" i="25"/>
  <c r="Q21" i="25"/>
  <c r="P21" i="25"/>
  <c r="D21" i="25"/>
  <c r="Y20" i="25"/>
  <c r="X20" i="25"/>
  <c r="Q20" i="25"/>
  <c r="P20" i="25"/>
  <c r="D20" i="25"/>
  <c r="Y19" i="25"/>
  <c r="X19" i="25"/>
  <c r="Q19" i="25"/>
  <c r="P19" i="25"/>
  <c r="D19" i="25"/>
  <c r="Y18" i="25"/>
  <c r="X18" i="25"/>
  <c r="Q18" i="25"/>
  <c r="P18" i="25"/>
  <c r="D18" i="25"/>
  <c r="Y17" i="25"/>
  <c r="X17" i="25"/>
  <c r="Q17" i="25"/>
  <c r="P17" i="25"/>
  <c r="D17" i="25"/>
  <c r="Y16" i="25"/>
  <c r="X16" i="25"/>
  <c r="Q16" i="25"/>
  <c r="P16" i="25"/>
  <c r="D16" i="25"/>
  <c r="Y15" i="25"/>
  <c r="X15" i="25"/>
  <c r="Q15" i="25"/>
  <c r="P15" i="25"/>
  <c r="D15" i="25"/>
  <c r="Y14" i="25"/>
  <c r="X14" i="25"/>
  <c r="Q14" i="25"/>
  <c r="P14" i="25"/>
  <c r="D14" i="25"/>
  <c r="Y13" i="25"/>
  <c r="X13" i="25"/>
  <c r="Q13" i="25"/>
  <c r="P13" i="25"/>
  <c r="D13" i="25"/>
  <c r="Y12" i="25"/>
  <c r="X12" i="25"/>
  <c r="Q12" i="25"/>
  <c r="P12" i="25"/>
  <c r="D12" i="25"/>
  <c r="Y11" i="25"/>
  <c r="X11" i="25"/>
  <c r="Q11" i="25"/>
  <c r="P11" i="25"/>
  <c r="D11" i="25"/>
  <c r="Y10" i="25"/>
  <c r="X10" i="25"/>
  <c r="Q10" i="25"/>
  <c r="P10" i="25"/>
  <c r="D10" i="25"/>
  <c r="Y9" i="25"/>
  <c r="X9" i="25"/>
  <c r="Q9" i="25"/>
  <c r="P9" i="25"/>
  <c r="D9" i="25"/>
  <c r="Y8" i="25"/>
  <c r="X8" i="25"/>
  <c r="Q8" i="25"/>
  <c r="P8" i="25"/>
  <c r="D8" i="25"/>
  <c r="Y7" i="25"/>
  <c r="X7" i="25"/>
  <c r="Q7" i="25"/>
  <c r="P7" i="25"/>
  <c r="D7" i="25"/>
  <c r="Y6" i="25"/>
  <c r="X6" i="25"/>
  <c r="Q6" i="25"/>
  <c r="P6" i="25"/>
  <c r="D6" i="25"/>
  <c r="Y5" i="25"/>
  <c r="X5" i="25"/>
  <c r="Q5" i="25"/>
  <c r="P5" i="25"/>
  <c r="D5" i="25"/>
  <c r="Q4" i="25"/>
  <c r="P4" i="25"/>
  <c r="D4" i="25"/>
  <c r="Q3" i="25"/>
  <c r="P3" i="25"/>
  <c r="D3" i="25"/>
  <c r="C1" i="25"/>
  <c r="E85" i="13" l="1"/>
  <c r="F85" i="13"/>
  <c r="H85" i="13"/>
  <c r="I85" i="13"/>
  <c r="J85" i="13"/>
  <c r="L85" i="13"/>
  <c r="M85" i="13"/>
  <c r="N85" i="13"/>
  <c r="Q85" i="13"/>
  <c r="R85" i="13"/>
  <c r="S85" i="13"/>
  <c r="T85" i="13"/>
  <c r="D85" i="13"/>
  <c r="E45" i="13"/>
  <c r="F45" i="13"/>
  <c r="H45" i="13"/>
  <c r="I45" i="13"/>
  <c r="J45" i="13"/>
  <c r="L45" i="13"/>
  <c r="M45" i="13"/>
  <c r="N45" i="13"/>
  <c r="Q45" i="13"/>
  <c r="R45" i="13"/>
  <c r="S45" i="13"/>
  <c r="T45" i="13"/>
  <c r="D45" i="13"/>
  <c r="C45" i="13" l="1"/>
  <c r="C85" i="13"/>
  <c r="U83" i="17"/>
  <c r="V83" i="17"/>
  <c r="U82" i="17"/>
  <c r="V82" i="17"/>
  <c r="U10" i="17" l="1"/>
  <c r="V10" i="17"/>
  <c r="V81" i="17" l="1"/>
  <c r="U81" i="17"/>
  <c r="U14" i="4" l="1"/>
  <c r="U15" i="4"/>
  <c r="U8" i="4"/>
  <c r="E1" i="17" l="1"/>
  <c r="E1" i="4"/>
  <c r="R50" i="14" l="1"/>
  <c r="N50" i="14"/>
  <c r="L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79" i="13" l="1"/>
  <c r="S38" i="13"/>
  <c r="S118" i="13"/>
  <c r="S116" i="13"/>
  <c r="S78" i="13"/>
  <c r="S76" i="13"/>
  <c r="S11" i="13"/>
  <c r="S119" i="13"/>
  <c r="S51" i="13"/>
  <c r="S37" i="13"/>
  <c r="S117" i="13"/>
  <c r="S91" i="13"/>
  <c r="S77" i="13"/>
  <c r="S36" i="13"/>
  <c r="Q116" i="13"/>
  <c r="Q76" i="13"/>
  <c r="Q36" i="13"/>
  <c r="Q38" i="13"/>
  <c r="Q117" i="13"/>
  <c r="Q77" i="13"/>
  <c r="Q37" i="13"/>
  <c r="Q51" i="13"/>
  <c r="Q118" i="13"/>
  <c r="Q78" i="13"/>
  <c r="Q119" i="13"/>
  <c r="Q79" i="13"/>
  <c r="Q91" i="13"/>
  <c r="Q11" i="13"/>
  <c r="H116" i="13"/>
  <c r="H76" i="13"/>
  <c r="H36" i="13"/>
  <c r="H119" i="13"/>
  <c r="H79" i="13"/>
  <c r="H91" i="13"/>
  <c r="H11" i="13"/>
  <c r="H118" i="13"/>
  <c r="H78" i="13"/>
  <c r="H51" i="13"/>
  <c r="H117" i="13"/>
  <c r="H77" i="13"/>
  <c r="H38" i="13"/>
  <c r="H37" i="13"/>
  <c r="F51" i="13"/>
  <c r="F79" i="13"/>
  <c r="F118" i="13"/>
  <c r="F116" i="13"/>
  <c r="F78" i="13"/>
  <c r="F76" i="13"/>
  <c r="F36" i="13"/>
  <c r="F119" i="13"/>
  <c r="F38" i="13"/>
  <c r="F117" i="13"/>
  <c r="F91" i="13"/>
  <c r="F77" i="13"/>
  <c r="F37" i="13"/>
  <c r="F11" i="13"/>
  <c r="M119" i="13"/>
  <c r="M51" i="13"/>
  <c r="M38" i="13"/>
  <c r="M37" i="13"/>
  <c r="M36" i="13"/>
  <c r="M11" i="13"/>
  <c r="M79" i="13"/>
  <c r="M118" i="13"/>
  <c r="M117" i="13"/>
  <c r="M116" i="13"/>
  <c r="M91" i="13"/>
  <c r="M78" i="13"/>
  <c r="M77" i="13"/>
  <c r="M76" i="13"/>
  <c r="J119" i="13"/>
  <c r="J79" i="13"/>
  <c r="J118" i="13"/>
  <c r="J78" i="13"/>
  <c r="J91" i="13"/>
  <c r="J11" i="13"/>
  <c r="J116" i="13"/>
  <c r="J76" i="13"/>
  <c r="J38" i="13"/>
  <c r="J36" i="13"/>
  <c r="J117" i="13"/>
  <c r="J77" i="13"/>
  <c r="J51" i="13"/>
  <c r="J37" i="13"/>
  <c r="K51" i="13"/>
  <c r="K118" i="13"/>
  <c r="K78" i="13"/>
  <c r="K36" i="13"/>
  <c r="K110" i="13"/>
  <c r="K101" i="13"/>
  <c r="K93" i="13"/>
  <c r="K68" i="13"/>
  <c r="K59" i="13"/>
  <c r="K39" i="13"/>
  <c r="K26" i="13"/>
  <c r="K18" i="13"/>
  <c r="K111" i="13"/>
  <c r="K98" i="13"/>
  <c r="K62" i="13"/>
  <c r="K28" i="13"/>
  <c r="K96" i="13"/>
  <c r="K64" i="13"/>
  <c r="K35" i="13"/>
  <c r="K17" i="13"/>
  <c r="K38" i="13"/>
  <c r="K117" i="13"/>
  <c r="K77" i="13"/>
  <c r="K11" i="13"/>
  <c r="K108" i="13"/>
  <c r="K99" i="13"/>
  <c r="K75" i="13"/>
  <c r="K65" i="13"/>
  <c r="K57" i="13"/>
  <c r="K33" i="13"/>
  <c r="K24" i="13"/>
  <c r="K16" i="13"/>
  <c r="K109" i="13"/>
  <c r="K94" i="13"/>
  <c r="K58" i="13"/>
  <c r="K23" i="13"/>
  <c r="K92" i="13"/>
  <c r="K60" i="13"/>
  <c r="K30" i="13"/>
  <c r="K13" i="13"/>
  <c r="K119" i="13"/>
  <c r="K79" i="13"/>
  <c r="K116" i="13"/>
  <c r="K76" i="13"/>
  <c r="K115" i="13"/>
  <c r="K105" i="13"/>
  <c r="K97" i="13"/>
  <c r="K72" i="13"/>
  <c r="K63" i="13"/>
  <c r="K55" i="13"/>
  <c r="K31" i="13"/>
  <c r="K22" i="13"/>
  <c r="K14" i="13"/>
  <c r="K106" i="13"/>
  <c r="K71" i="13"/>
  <c r="K54" i="13"/>
  <c r="K19" i="13"/>
  <c r="K104" i="13"/>
  <c r="K73" i="13"/>
  <c r="K56" i="13"/>
  <c r="K25" i="13"/>
  <c r="K91" i="13"/>
  <c r="K37" i="13"/>
  <c r="K112" i="13"/>
  <c r="K103" i="13"/>
  <c r="K95" i="13"/>
  <c r="K70" i="13"/>
  <c r="K61" i="13"/>
  <c r="K53" i="13"/>
  <c r="K29" i="13"/>
  <c r="K20" i="13"/>
  <c r="K12" i="13"/>
  <c r="K113" i="13"/>
  <c r="K102" i="13"/>
  <c r="K66" i="13"/>
  <c r="K32" i="13"/>
  <c r="K15" i="13"/>
  <c r="K100" i="13"/>
  <c r="K69" i="13"/>
  <c r="K52" i="13"/>
  <c r="K21" i="13"/>
  <c r="D119" i="13"/>
  <c r="D15" i="13"/>
  <c r="D37" i="13"/>
  <c r="D36" i="13"/>
  <c r="D11" i="13"/>
  <c r="D79" i="13"/>
  <c r="D51" i="13"/>
  <c r="D38" i="13"/>
  <c r="D118" i="13"/>
  <c r="D117" i="13"/>
  <c r="D116" i="13"/>
  <c r="D91" i="13"/>
  <c r="D78" i="13"/>
  <c r="D77" i="13"/>
  <c r="D76" i="13"/>
  <c r="T118" i="13"/>
  <c r="T116" i="13"/>
  <c r="T78" i="13"/>
  <c r="T76" i="13"/>
  <c r="T51" i="13"/>
  <c r="T37" i="13"/>
  <c r="T11" i="13"/>
  <c r="T117" i="13"/>
  <c r="T91" i="13"/>
  <c r="T77" i="13"/>
  <c r="T38" i="13"/>
  <c r="T36" i="13"/>
  <c r="U9" i="4"/>
  <c r="M3" i="17"/>
  <c r="C76" i="13" l="1"/>
  <c r="C119" i="13"/>
  <c r="C91" i="13"/>
  <c r="C79" i="13"/>
  <c r="C77" i="13"/>
  <c r="C11" i="13"/>
  <c r="C37" i="13"/>
  <c r="C116" i="13"/>
  <c r="C51" i="13"/>
  <c r="K120" i="13"/>
  <c r="K27" i="13"/>
  <c r="K34" i="13"/>
  <c r="K74" i="13"/>
  <c r="C78" i="13"/>
  <c r="K80" i="13"/>
  <c r="K40" i="13"/>
  <c r="K107" i="13"/>
  <c r="K114" i="13"/>
  <c r="K67" i="13"/>
  <c r="C36" i="13"/>
  <c r="C38" i="13"/>
  <c r="C118" i="13"/>
  <c r="C117" i="13"/>
  <c r="U68" i="14"/>
  <c r="U66" i="14"/>
  <c r="U64" i="14"/>
  <c r="U61" i="14"/>
  <c r="U57" i="14"/>
  <c r="U55" i="14"/>
  <c r="U52" i="14"/>
  <c r="U51" i="14" s="1"/>
  <c r="U48" i="14"/>
  <c r="U46" i="14"/>
  <c r="U44" i="14"/>
  <c r="U41" i="14"/>
  <c r="U37" i="14"/>
  <c r="U35" i="14"/>
  <c r="U32" i="14"/>
  <c r="U29" i="14"/>
  <c r="U27" i="14"/>
  <c r="U25" i="14"/>
  <c r="U22" i="14"/>
  <c r="U20" i="14"/>
  <c r="U17" i="14"/>
  <c r="U14" i="14"/>
  <c r="U12" i="14"/>
  <c r="U10" i="14"/>
  <c r="U7" i="14"/>
  <c r="U67" i="14"/>
  <c r="U65" i="14"/>
  <c r="U62" i="14"/>
  <c r="U60" i="14"/>
  <c r="U56" i="14"/>
  <c r="U54" i="14"/>
  <c r="U50" i="14"/>
  <c r="U49" i="14" s="1"/>
  <c r="U47" i="14"/>
  <c r="U45" i="14"/>
  <c r="U43" i="14"/>
  <c r="U40" i="14"/>
  <c r="U39" i="14" s="1"/>
  <c r="U36" i="14"/>
  <c r="U34" i="14"/>
  <c r="U31" i="14"/>
  <c r="U28" i="14"/>
  <c r="U26" i="14"/>
  <c r="U24" i="14"/>
  <c r="U21" i="14"/>
  <c r="U18" i="14"/>
  <c r="U16" i="14"/>
  <c r="U13" i="14"/>
  <c r="U11" i="14"/>
  <c r="U8" i="14"/>
  <c r="U6" i="14"/>
  <c r="I50" i="14"/>
  <c r="U90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69" i="4"/>
  <c r="U68" i="4"/>
  <c r="U67" i="4"/>
  <c r="U66" i="4"/>
  <c r="U65" i="4"/>
  <c r="U64" i="4"/>
  <c r="U63" i="4"/>
  <c r="U62" i="4"/>
  <c r="U49" i="4"/>
  <c r="U39" i="4"/>
  <c r="U48" i="4"/>
  <c r="U38" i="4"/>
  <c r="U19" i="4"/>
  <c r="U18" i="4"/>
  <c r="U17" i="4"/>
  <c r="U16" i="4"/>
  <c r="U13" i="4"/>
  <c r="U12" i="4"/>
  <c r="U11" i="4"/>
  <c r="U10" i="4"/>
  <c r="U35" i="4"/>
  <c r="U34" i="4"/>
  <c r="U33" i="4"/>
  <c r="U32" i="4"/>
  <c r="U31" i="4"/>
  <c r="U30" i="4"/>
  <c r="U52" i="4"/>
  <c r="U45" i="4"/>
  <c r="U44" i="4"/>
  <c r="U43" i="4"/>
  <c r="U42" i="4"/>
  <c r="U71" i="4"/>
  <c r="U70" i="4"/>
  <c r="U25" i="4"/>
  <c r="U61" i="4"/>
  <c r="U24" i="4"/>
  <c r="U23" i="4"/>
  <c r="U22" i="4"/>
  <c r="U57" i="4"/>
  <c r="U21" i="4"/>
  <c r="U20" i="4"/>
  <c r="U60" i="4"/>
  <c r="U59" i="4"/>
  <c r="U56" i="4"/>
  <c r="U55" i="4"/>
  <c r="U54" i="4"/>
  <c r="U53" i="4"/>
  <c r="U7" i="4"/>
  <c r="U6" i="4"/>
  <c r="U30" i="14" l="1"/>
  <c r="K41" i="13"/>
  <c r="K46" i="13"/>
  <c r="K48" i="13" s="1"/>
  <c r="K50" i="13" s="1"/>
  <c r="K121" i="13"/>
  <c r="K86" i="13"/>
  <c r="K88" i="13" s="1"/>
  <c r="K90" i="13" s="1"/>
  <c r="K81" i="13"/>
  <c r="K6" i="13"/>
  <c r="K8" i="13" s="1"/>
  <c r="K10" i="13" s="1"/>
  <c r="U23" i="14"/>
  <c r="U33" i="14"/>
  <c r="U15" i="14"/>
  <c r="U42" i="14"/>
  <c r="U53" i="14"/>
  <c r="U59" i="14"/>
  <c r="U5" i="14"/>
  <c r="U9" i="14"/>
  <c r="U19" i="14"/>
  <c r="U63" i="14"/>
  <c r="T112" i="13"/>
  <c r="T108" i="13"/>
  <c r="T103" i="13"/>
  <c r="T99" i="13"/>
  <c r="T95" i="13"/>
  <c r="T75" i="13"/>
  <c r="T70" i="13"/>
  <c r="T65" i="13"/>
  <c r="T61" i="13"/>
  <c r="T57" i="13"/>
  <c r="T53" i="13"/>
  <c r="T33" i="13"/>
  <c r="T29" i="13"/>
  <c r="T24" i="13"/>
  <c r="T20" i="13"/>
  <c r="T16" i="13"/>
  <c r="T12" i="13"/>
  <c r="T111" i="13"/>
  <c r="T106" i="13"/>
  <c r="T102" i="13"/>
  <c r="T98" i="13"/>
  <c r="T94" i="13"/>
  <c r="T73" i="13"/>
  <c r="T69" i="13"/>
  <c r="T64" i="13"/>
  <c r="T60" i="13"/>
  <c r="T56" i="13"/>
  <c r="T52" i="13"/>
  <c r="T32" i="13"/>
  <c r="T28" i="13"/>
  <c r="T23" i="13"/>
  <c r="T19" i="13"/>
  <c r="T15" i="13"/>
  <c r="T109" i="13"/>
  <c r="T100" i="13"/>
  <c r="T96" i="13"/>
  <c r="T71" i="13"/>
  <c r="T62" i="13"/>
  <c r="T54" i="13"/>
  <c r="T30" i="13"/>
  <c r="T21" i="13"/>
  <c r="T13" i="13"/>
  <c r="T115" i="13"/>
  <c r="T110" i="13"/>
  <c r="T105" i="13"/>
  <c r="T101" i="13"/>
  <c r="T97" i="13"/>
  <c r="T93" i="13"/>
  <c r="T72" i="13"/>
  <c r="T68" i="13"/>
  <c r="T63" i="13"/>
  <c r="T59" i="13"/>
  <c r="T55" i="13"/>
  <c r="T39" i="13"/>
  <c r="T31" i="13"/>
  <c r="T26" i="13"/>
  <c r="T22" i="13"/>
  <c r="T18" i="13"/>
  <c r="T14" i="13"/>
  <c r="T113" i="13"/>
  <c r="T104" i="13"/>
  <c r="T92" i="13"/>
  <c r="T66" i="13"/>
  <c r="T58" i="13"/>
  <c r="T35" i="13"/>
  <c r="T25" i="13"/>
  <c r="T17" i="13"/>
  <c r="R115" i="13"/>
  <c r="N115" i="13"/>
  <c r="L115" i="13"/>
  <c r="I115" i="13"/>
  <c r="F115" i="13"/>
  <c r="D115" i="13"/>
  <c r="D120" i="13" s="1"/>
  <c r="S113" i="13"/>
  <c r="Q113" i="13"/>
  <c r="M113" i="13"/>
  <c r="J113" i="13"/>
  <c r="H113" i="13"/>
  <c r="E113" i="13"/>
  <c r="R112" i="13"/>
  <c r="N112" i="13"/>
  <c r="L112" i="13"/>
  <c r="I112" i="13"/>
  <c r="F112" i="13"/>
  <c r="D112" i="13"/>
  <c r="S111" i="13"/>
  <c r="Q111" i="13"/>
  <c r="M111" i="13"/>
  <c r="J111" i="13"/>
  <c r="H111" i="13"/>
  <c r="E111" i="13"/>
  <c r="R110" i="13"/>
  <c r="N110" i="13"/>
  <c r="L110" i="13"/>
  <c r="I110" i="13"/>
  <c r="F110" i="13"/>
  <c r="D110" i="13"/>
  <c r="S109" i="13"/>
  <c r="Q109" i="13"/>
  <c r="M109" i="13"/>
  <c r="J109" i="13"/>
  <c r="H109" i="13"/>
  <c r="E109" i="13"/>
  <c r="R108" i="13"/>
  <c r="N108" i="13"/>
  <c r="L108" i="13"/>
  <c r="I108" i="13"/>
  <c r="F108" i="13"/>
  <c r="D108" i="13"/>
  <c r="S106" i="13"/>
  <c r="Q106" i="13"/>
  <c r="M106" i="13"/>
  <c r="J106" i="13"/>
  <c r="H106" i="13"/>
  <c r="E106" i="13"/>
  <c r="R105" i="13"/>
  <c r="N105" i="13"/>
  <c r="L105" i="13"/>
  <c r="I105" i="13"/>
  <c r="F105" i="13"/>
  <c r="D105" i="13"/>
  <c r="S104" i="13"/>
  <c r="Q104" i="13"/>
  <c r="M104" i="13"/>
  <c r="J104" i="13"/>
  <c r="H104" i="13"/>
  <c r="E104" i="13"/>
  <c r="R103" i="13"/>
  <c r="N103" i="13"/>
  <c r="L103" i="13"/>
  <c r="I103" i="13"/>
  <c r="F103" i="13"/>
  <c r="D103" i="13"/>
  <c r="S102" i="13"/>
  <c r="Q102" i="13"/>
  <c r="M102" i="13"/>
  <c r="J102" i="13"/>
  <c r="H102" i="13"/>
  <c r="E102" i="13"/>
  <c r="S115" i="13"/>
  <c r="M115" i="13"/>
  <c r="H115" i="13"/>
  <c r="N113" i="13"/>
  <c r="I113" i="13"/>
  <c r="D113" i="13"/>
  <c r="Q112" i="13"/>
  <c r="J112" i="13"/>
  <c r="E112" i="13"/>
  <c r="R111" i="13"/>
  <c r="L111" i="13"/>
  <c r="F111" i="13"/>
  <c r="S110" i="13"/>
  <c r="M110" i="13"/>
  <c r="H110" i="13"/>
  <c r="N109" i="13"/>
  <c r="I109" i="13"/>
  <c r="D109" i="13"/>
  <c r="Q108" i="13"/>
  <c r="J108" i="13"/>
  <c r="E108" i="13"/>
  <c r="R106" i="13"/>
  <c r="L106" i="13"/>
  <c r="F106" i="13"/>
  <c r="S105" i="13"/>
  <c r="M105" i="13"/>
  <c r="H105" i="13"/>
  <c r="N104" i="13"/>
  <c r="I104" i="13"/>
  <c r="D104" i="13"/>
  <c r="Q103" i="13"/>
  <c r="J103" i="13"/>
  <c r="E103" i="13"/>
  <c r="R102" i="13"/>
  <c r="L102" i="13"/>
  <c r="F102" i="13"/>
  <c r="S101" i="13"/>
  <c r="Q101" i="13"/>
  <c r="M101" i="13"/>
  <c r="J101" i="13"/>
  <c r="H101" i="13"/>
  <c r="E101" i="13"/>
  <c r="R100" i="13"/>
  <c r="N100" i="13"/>
  <c r="L100" i="13"/>
  <c r="I100" i="13"/>
  <c r="F100" i="13"/>
  <c r="D100" i="13"/>
  <c r="S99" i="13"/>
  <c r="Q99" i="13"/>
  <c r="M99" i="13"/>
  <c r="J99" i="13"/>
  <c r="H99" i="13"/>
  <c r="E99" i="13"/>
  <c r="R98" i="13"/>
  <c r="N98" i="13"/>
  <c r="L98" i="13"/>
  <c r="I98" i="13"/>
  <c r="F98" i="13"/>
  <c r="D98" i="13"/>
  <c r="S97" i="13"/>
  <c r="Q97" i="13"/>
  <c r="M97" i="13"/>
  <c r="J97" i="13"/>
  <c r="H97" i="13"/>
  <c r="E97" i="13"/>
  <c r="R96" i="13"/>
  <c r="N96" i="13"/>
  <c r="L96" i="13"/>
  <c r="I96" i="13"/>
  <c r="F96" i="13"/>
  <c r="D96" i="13"/>
  <c r="S95" i="13"/>
  <c r="Q95" i="13"/>
  <c r="M95" i="13"/>
  <c r="J95" i="13"/>
  <c r="H95" i="13"/>
  <c r="E95" i="13"/>
  <c r="R94" i="13"/>
  <c r="N94" i="13"/>
  <c r="L94" i="13"/>
  <c r="I94" i="13"/>
  <c r="F94" i="13"/>
  <c r="D94" i="13"/>
  <c r="S93" i="13"/>
  <c r="Q93" i="13"/>
  <c r="M93" i="13"/>
  <c r="J93" i="13"/>
  <c r="H93" i="13"/>
  <c r="E93" i="13"/>
  <c r="R92" i="13"/>
  <c r="N92" i="13"/>
  <c r="L92" i="13"/>
  <c r="I92" i="13"/>
  <c r="F92" i="13"/>
  <c r="D92" i="13"/>
  <c r="Q115" i="13"/>
  <c r="J115" i="13"/>
  <c r="J120" i="13" s="1"/>
  <c r="E115" i="13"/>
  <c r="R113" i="13"/>
  <c r="L113" i="13"/>
  <c r="F113" i="13"/>
  <c r="S112" i="13"/>
  <c r="M112" i="13"/>
  <c r="H112" i="13"/>
  <c r="N111" i="13"/>
  <c r="I111" i="13"/>
  <c r="D111" i="13"/>
  <c r="Q110" i="13"/>
  <c r="J110" i="13"/>
  <c r="E110" i="13"/>
  <c r="R109" i="13"/>
  <c r="L109" i="13"/>
  <c r="F109" i="13"/>
  <c r="S108" i="13"/>
  <c r="M108" i="13"/>
  <c r="H108" i="13"/>
  <c r="N106" i="13"/>
  <c r="I106" i="13"/>
  <c r="D106" i="13"/>
  <c r="Q105" i="13"/>
  <c r="J105" i="13"/>
  <c r="E105" i="13"/>
  <c r="R104" i="13"/>
  <c r="L104" i="13"/>
  <c r="F104" i="13"/>
  <c r="S103" i="13"/>
  <c r="M103" i="13"/>
  <c r="H103" i="13"/>
  <c r="N102" i="13"/>
  <c r="I102" i="13"/>
  <c r="D102" i="13"/>
  <c r="R101" i="13"/>
  <c r="N101" i="13"/>
  <c r="L101" i="13"/>
  <c r="I101" i="13"/>
  <c r="F101" i="13"/>
  <c r="D101" i="13"/>
  <c r="S100" i="13"/>
  <c r="Q100" i="13"/>
  <c r="M100" i="13"/>
  <c r="J100" i="13"/>
  <c r="H100" i="13"/>
  <c r="E100" i="13"/>
  <c r="R99" i="13"/>
  <c r="N99" i="13"/>
  <c r="L99" i="13"/>
  <c r="I99" i="13"/>
  <c r="F99" i="13"/>
  <c r="D99" i="13"/>
  <c r="S98" i="13"/>
  <c r="Q98" i="13"/>
  <c r="M98" i="13"/>
  <c r="H98" i="13"/>
  <c r="N97" i="13"/>
  <c r="I97" i="13"/>
  <c r="D97" i="13"/>
  <c r="Q96" i="13"/>
  <c r="J96" i="13"/>
  <c r="E96" i="13"/>
  <c r="R95" i="13"/>
  <c r="L95" i="13"/>
  <c r="F95" i="13"/>
  <c r="S94" i="13"/>
  <c r="M94" i="13"/>
  <c r="H94" i="13"/>
  <c r="N93" i="13"/>
  <c r="I93" i="13"/>
  <c r="D93" i="13"/>
  <c r="Q92" i="13"/>
  <c r="J92" i="13"/>
  <c r="E92" i="13"/>
  <c r="J98" i="13"/>
  <c r="E98" i="13"/>
  <c r="R97" i="13"/>
  <c r="L97" i="13"/>
  <c r="F97" i="13"/>
  <c r="S96" i="13"/>
  <c r="M96" i="13"/>
  <c r="H96" i="13"/>
  <c r="N95" i="13"/>
  <c r="I95" i="13"/>
  <c r="D95" i="13"/>
  <c r="Q94" i="13"/>
  <c r="J94" i="13"/>
  <c r="E94" i="13"/>
  <c r="R93" i="13"/>
  <c r="L93" i="13"/>
  <c r="F93" i="13"/>
  <c r="S92" i="13"/>
  <c r="M92" i="13"/>
  <c r="H92" i="13"/>
  <c r="N75" i="13"/>
  <c r="N80" i="13" s="1"/>
  <c r="I75" i="13"/>
  <c r="I80" i="13" s="1"/>
  <c r="D75" i="13"/>
  <c r="D80" i="13" s="1"/>
  <c r="Q73" i="13"/>
  <c r="J73" i="13"/>
  <c r="E73" i="13"/>
  <c r="R72" i="13"/>
  <c r="L72" i="13"/>
  <c r="F72" i="13"/>
  <c r="S71" i="13"/>
  <c r="M71" i="13"/>
  <c r="H71" i="13"/>
  <c r="N70" i="13"/>
  <c r="I70" i="13"/>
  <c r="D70" i="13"/>
  <c r="Q69" i="13"/>
  <c r="J69" i="13"/>
  <c r="E69" i="13"/>
  <c r="R68" i="13"/>
  <c r="L68" i="13"/>
  <c r="F68" i="13"/>
  <c r="S66" i="13"/>
  <c r="M66" i="13"/>
  <c r="H66" i="13"/>
  <c r="N65" i="13"/>
  <c r="I65" i="13"/>
  <c r="D65" i="13"/>
  <c r="Q64" i="13"/>
  <c r="J64" i="13"/>
  <c r="E64" i="13"/>
  <c r="R63" i="13"/>
  <c r="L63" i="13"/>
  <c r="F63" i="13"/>
  <c r="S62" i="13"/>
  <c r="M62" i="13"/>
  <c r="H62" i="13"/>
  <c r="N61" i="13"/>
  <c r="I61" i="13"/>
  <c r="D61" i="13"/>
  <c r="M75" i="13"/>
  <c r="I73" i="13"/>
  <c r="Q72" i="13"/>
  <c r="E72" i="13"/>
  <c r="L71" i="13"/>
  <c r="S70" i="13"/>
  <c r="H70" i="13"/>
  <c r="N69" i="13"/>
  <c r="D69" i="13"/>
  <c r="J68" i="13"/>
  <c r="R66" i="13"/>
  <c r="F66" i="13"/>
  <c r="M65" i="13"/>
  <c r="I64" i="13"/>
  <c r="Q63" i="13"/>
  <c r="E63" i="13"/>
  <c r="L62" i="13"/>
  <c r="S61" i="13"/>
  <c r="H61" i="13"/>
  <c r="R60" i="13"/>
  <c r="L60" i="13"/>
  <c r="F60" i="13"/>
  <c r="S59" i="13"/>
  <c r="M59" i="13"/>
  <c r="H59" i="13"/>
  <c r="N58" i="13"/>
  <c r="I58" i="13"/>
  <c r="D58" i="13"/>
  <c r="Q57" i="13"/>
  <c r="J57" i="13"/>
  <c r="E57" i="13"/>
  <c r="R56" i="13"/>
  <c r="L56" i="13"/>
  <c r="F56" i="13"/>
  <c r="S55" i="13"/>
  <c r="M55" i="13"/>
  <c r="H55" i="13"/>
  <c r="N54" i="13"/>
  <c r="R75" i="13"/>
  <c r="F75" i="13"/>
  <c r="M73" i="13"/>
  <c r="I72" i="13"/>
  <c r="Q71" i="13"/>
  <c r="E71" i="13"/>
  <c r="L70" i="13"/>
  <c r="S69" i="13"/>
  <c r="H69" i="13"/>
  <c r="N68" i="13"/>
  <c r="D68" i="13"/>
  <c r="J66" i="13"/>
  <c r="R65" i="13"/>
  <c r="F65" i="13"/>
  <c r="M64" i="13"/>
  <c r="I63" i="13"/>
  <c r="Q62" i="13"/>
  <c r="E62" i="13"/>
  <c r="L61" i="13"/>
  <c r="S75" i="13"/>
  <c r="N73" i="13"/>
  <c r="J72" i="13"/>
  <c r="F71" i="13"/>
  <c r="Q68" i="13"/>
  <c r="L66" i="13"/>
  <c r="H65" i="13"/>
  <c r="D64" i="13"/>
  <c r="R62" i="13"/>
  <c r="M61" i="13"/>
  <c r="N60" i="13"/>
  <c r="D60" i="13"/>
  <c r="J59" i="13"/>
  <c r="R58" i="13"/>
  <c r="F58" i="13"/>
  <c r="M57" i="13"/>
  <c r="I56" i="13"/>
  <c r="Q55" i="13"/>
  <c r="E55" i="13"/>
  <c r="L54" i="13"/>
  <c r="F54" i="13"/>
  <c r="S53" i="13"/>
  <c r="M53" i="13"/>
  <c r="H53" i="13"/>
  <c r="N52" i="13"/>
  <c r="I52" i="13"/>
  <c r="D52" i="13"/>
  <c r="J75" i="13"/>
  <c r="R73" i="13"/>
  <c r="F73" i="13"/>
  <c r="M72" i="13"/>
  <c r="I71" i="13"/>
  <c r="Q70" i="13"/>
  <c r="E70" i="13"/>
  <c r="L69" i="13"/>
  <c r="S68" i="13"/>
  <c r="H68" i="13"/>
  <c r="N66" i="13"/>
  <c r="D66" i="13"/>
  <c r="J65" i="13"/>
  <c r="R64" i="13"/>
  <c r="F64" i="13"/>
  <c r="M63" i="13"/>
  <c r="I62" i="13"/>
  <c r="Q61" i="13"/>
  <c r="E61" i="13"/>
  <c r="Q60" i="13"/>
  <c r="J60" i="13"/>
  <c r="E60" i="13"/>
  <c r="R59" i="13"/>
  <c r="L59" i="13"/>
  <c r="F59" i="13"/>
  <c r="S58" i="13"/>
  <c r="M58" i="13"/>
  <c r="H58" i="13"/>
  <c r="N57" i="13"/>
  <c r="I57" i="13"/>
  <c r="D57" i="13"/>
  <c r="M56" i="13"/>
  <c r="I55" i="13"/>
  <c r="Q54" i="13"/>
  <c r="E54" i="13"/>
  <c r="L53" i="13"/>
  <c r="S52" i="13"/>
  <c r="H52" i="13"/>
  <c r="J56" i="13"/>
  <c r="R55" i="13"/>
  <c r="F55" i="13"/>
  <c r="M54" i="13"/>
  <c r="I53" i="13"/>
  <c r="Q52" i="13"/>
  <c r="E52" i="13"/>
  <c r="L75" i="13"/>
  <c r="S73" i="13"/>
  <c r="H73" i="13"/>
  <c r="N72" i="13"/>
  <c r="D72" i="13"/>
  <c r="J71" i="13"/>
  <c r="R70" i="13"/>
  <c r="F70" i="13"/>
  <c r="M69" i="13"/>
  <c r="I68" i="13"/>
  <c r="Q66" i="13"/>
  <c r="E66" i="13"/>
  <c r="L65" i="13"/>
  <c r="S64" i="13"/>
  <c r="H64" i="13"/>
  <c r="N63" i="13"/>
  <c r="D63" i="13"/>
  <c r="J62" i="13"/>
  <c r="R61" i="13"/>
  <c r="F61" i="13"/>
  <c r="H75" i="13"/>
  <c r="D73" i="13"/>
  <c r="R71" i="13"/>
  <c r="M70" i="13"/>
  <c r="I69" i="13"/>
  <c r="E68" i="13"/>
  <c r="S65" i="13"/>
  <c r="N64" i="13"/>
  <c r="J63" i="13"/>
  <c r="F62" i="13"/>
  <c r="I60" i="13"/>
  <c r="Q59" i="13"/>
  <c r="E59" i="13"/>
  <c r="L58" i="13"/>
  <c r="S57" i="13"/>
  <c r="H57" i="13"/>
  <c r="N56" i="13"/>
  <c r="D56" i="13"/>
  <c r="J55" i="13"/>
  <c r="R54" i="13"/>
  <c r="I54" i="13"/>
  <c r="D54" i="13"/>
  <c r="Q53" i="13"/>
  <c r="J53" i="13"/>
  <c r="E53" i="13"/>
  <c r="R52" i="13"/>
  <c r="L52" i="13"/>
  <c r="F52" i="13"/>
  <c r="Q75" i="13"/>
  <c r="E75" i="13"/>
  <c r="E80" i="13" s="1"/>
  <c r="L73" i="13"/>
  <c r="S72" i="13"/>
  <c r="H72" i="13"/>
  <c r="N71" i="13"/>
  <c r="D71" i="13"/>
  <c r="J70" i="13"/>
  <c r="R69" i="13"/>
  <c r="F69" i="13"/>
  <c r="M68" i="13"/>
  <c r="I66" i="13"/>
  <c r="Q65" i="13"/>
  <c r="E65" i="13"/>
  <c r="L64" i="13"/>
  <c r="S63" i="13"/>
  <c r="H63" i="13"/>
  <c r="N62" i="13"/>
  <c r="D62" i="13"/>
  <c r="S60" i="13"/>
  <c r="H60" i="13"/>
  <c r="N59" i="13"/>
  <c r="D59" i="13"/>
  <c r="J58" i="13"/>
  <c r="R57" i="13"/>
  <c r="F57" i="13"/>
  <c r="H56" i="13"/>
  <c r="D55" i="13"/>
  <c r="R53" i="13"/>
  <c r="M52" i="13"/>
  <c r="E56" i="13"/>
  <c r="S54" i="13"/>
  <c r="N53" i="13"/>
  <c r="J52" i="13"/>
  <c r="J61" i="13"/>
  <c r="M60" i="13"/>
  <c r="I59" i="13"/>
  <c r="Q58" i="13"/>
  <c r="E58" i="13"/>
  <c r="L57" i="13"/>
  <c r="S56" i="13"/>
  <c r="N55" i="13"/>
  <c r="J54" i="13"/>
  <c r="F53" i="13"/>
  <c r="Q56" i="13"/>
  <c r="L55" i="13"/>
  <c r="H54" i="13"/>
  <c r="D53" i="13"/>
  <c r="S39" i="13"/>
  <c r="Q39" i="13"/>
  <c r="M39" i="13"/>
  <c r="J39" i="13"/>
  <c r="H39" i="13"/>
  <c r="E39" i="13"/>
  <c r="R35" i="13"/>
  <c r="N35" i="13"/>
  <c r="L35" i="13"/>
  <c r="I35" i="13"/>
  <c r="F35" i="13"/>
  <c r="D35" i="13"/>
  <c r="S33" i="13"/>
  <c r="Q33" i="13"/>
  <c r="M33" i="13"/>
  <c r="J33" i="13"/>
  <c r="H33" i="13"/>
  <c r="E33" i="13"/>
  <c r="R32" i="13"/>
  <c r="N32" i="13"/>
  <c r="L32" i="13"/>
  <c r="I32" i="13"/>
  <c r="F32" i="13"/>
  <c r="D32" i="13"/>
  <c r="S31" i="13"/>
  <c r="Q31" i="13"/>
  <c r="M31" i="13"/>
  <c r="J31" i="13"/>
  <c r="H31" i="13"/>
  <c r="E31" i="13"/>
  <c r="R30" i="13"/>
  <c r="N30" i="13"/>
  <c r="L30" i="13"/>
  <c r="I30" i="13"/>
  <c r="F30" i="13"/>
  <c r="D30" i="13"/>
  <c r="S29" i="13"/>
  <c r="Q29" i="13"/>
  <c r="M29" i="13"/>
  <c r="J29" i="13"/>
  <c r="H29" i="13"/>
  <c r="E29" i="13"/>
  <c r="R28" i="13"/>
  <c r="N28" i="13"/>
  <c r="L28" i="13"/>
  <c r="I28" i="13"/>
  <c r="F28" i="13"/>
  <c r="D28" i="13"/>
  <c r="S26" i="13"/>
  <c r="Q26" i="13"/>
  <c r="M26" i="13"/>
  <c r="J26" i="13"/>
  <c r="H26" i="13"/>
  <c r="E26" i="13"/>
  <c r="R25" i="13"/>
  <c r="N25" i="13"/>
  <c r="L25" i="13"/>
  <c r="I25" i="13"/>
  <c r="F25" i="13"/>
  <c r="D25" i="13"/>
  <c r="S24" i="13"/>
  <c r="Q24" i="13"/>
  <c r="M24" i="13"/>
  <c r="J24" i="13"/>
  <c r="H24" i="13"/>
  <c r="E24" i="13"/>
  <c r="R23" i="13"/>
  <c r="N23" i="13"/>
  <c r="L23" i="13"/>
  <c r="I23" i="13"/>
  <c r="F23" i="13"/>
  <c r="D23" i="13"/>
  <c r="S22" i="13"/>
  <c r="Q22" i="13"/>
  <c r="M22" i="13"/>
  <c r="J22" i="13"/>
  <c r="H22" i="13"/>
  <c r="E22" i="13"/>
  <c r="N39" i="13"/>
  <c r="I39" i="13"/>
  <c r="D39" i="13"/>
  <c r="Q35" i="13"/>
  <c r="J35" i="13"/>
  <c r="E35" i="13"/>
  <c r="R33" i="13"/>
  <c r="L33" i="13"/>
  <c r="F33" i="13"/>
  <c r="S32" i="13"/>
  <c r="M32" i="13"/>
  <c r="H32" i="13"/>
  <c r="N31" i="13"/>
  <c r="I31" i="13"/>
  <c r="D31" i="13"/>
  <c r="Q30" i="13"/>
  <c r="J30" i="13"/>
  <c r="E30" i="13"/>
  <c r="R29" i="13"/>
  <c r="L29" i="13"/>
  <c r="F29" i="13"/>
  <c r="S28" i="13"/>
  <c r="M28" i="13"/>
  <c r="H28" i="13"/>
  <c r="N26" i="13"/>
  <c r="I26" i="13"/>
  <c r="D26" i="13"/>
  <c r="Q25" i="13"/>
  <c r="J25" i="13"/>
  <c r="E25" i="13"/>
  <c r="R24" i="13"/>
  <c r="L24" i="13"/>
  <c r="F24" i="13"/>
  <c r="S23" i="13"/>
  <c r="M23" i="13"/>
  <c r="H23" i="13"/>
  <c r="N22" i="13"/>
  <c r="I22" i="13"/>
  <c r="D22" i="13"/>
  <c r="R21" i="13"/>
  <c r="N21" i="13"/>
  <c r="L21" i="13"/>
  <c r="I21" i="13"/>
  <c r="F21" i="13"/>
  <c r="D21" i="13"/>
  <c r="S20" i="13"/>
  <c r="Q20" i="13"/>
  <c r="M20" i="13"/>
  <c r="J20" i="13"/>
  <c r="H20" i="13"/>
  <c r="E20" i="13"/>
  <c r="R19" i="13"/>
  <c r="N19" i="13"/>
  <c r="L19" i="13"/>
  <c r="I19" i="13"/>
  <c r="F19" i="13"/>
  <c r="D19" i="13"/>
  <c r="S18" i="13"/>
  <c r="Q18" i="13"/>
  <c r="M18" i="13"/>
  <c r="J18" i="13"/>
  <c r="H18" i="13"/>
  <c r="E18" i="13"/>
  <c r="N17" i="13"/>
  <c r="L17" i="13"/>
  <c r="I17" i="13"/>
  <c r="F17" i="13"/>
  <c r="D17" i="13"/>
  <c r="S16" i="13"/>
  <c r="Q16" i="13"/>
  <c r="M16" i="13"/>
  <c r="J16" i="13"/>
  <c r="H16" i="13"/>
  <c r="E16" i="13"/>
  <c r="R15" i="13"/>
  <c r="N15" i="13"/>
  <c r="L15" i="13"/>
  <c r="L39" i="13"/>
  <c r="S35" i="13"/>
  <c r="H35" i="13"/>
  <c r="N33" i="13"/>
  <c r="D33" i="13"/>
  <c r="J32" i="13"/>
  <c r="R31" i="13"/>
  <c r="F31" i="13"/>
  <c r="M30" i="13"/>
  <c r="I29" i="13"/>
  <c r="Q28" i="13"/>
  <c r="E28" i="13"/>
  <c r="L26" i="13"/>
  <c r="S25" i="13"/>
  <c r="H25" i="13"/>
  <c r="N24" i="13"/>
  <c r="D24" i="13"/>
  <c r="J23" i="13"/>
  <c r="R22" i="13"/>
  <c r="F22" i="13"/>
  <c r="Q21" i="13"/>
  <c r="J21" i="13"/>
  <c r="E21" i="13"/>
  <c r="R20" i="13"/>
  <c r="L20" i="13"/>
  <c r="F20" i="13"/>
  <c r="S19" i="13"/>
  <c r="M19" i="13"/>
  <c r="H19" i="13"/>
  <c r="N18" i="13"/>
  <c r="I18" i="13"/>
  <c r="D18" i="13"/>
  <c r="Q17" i="13"/>
  <c r="J17" i="13"/>
  <c r="E17" i="13"/>
  <c r="R16" i="13"/>
  <c r="L16" i="13"/>
  <c r="F16" i="13"/>
  <c r="S15" i="13"/>
  <c r="M15" i="13"/>
  <c r="I15" i="13"/>
  <c r="F15" i="13"/>
  <c r="S14" i="13"/>
  <c r="Q14" i="13"/>
  <c r="M14" i="13"/>
  <c r="J14" i="13"/>
  <c r="H14" i="13"/>
  <c r="E14" i="13"/>
  <c r="R13" i="13"/>
  <c r="N13" i="13"/>
  <c r="L13" i="13"/>
  <c r="I13" i="13"/>
  <c r="F13" i="13"/>
  <c r="D13" i="13"/>
  <c r="R39" i="13"/>
  <c r="F39" i="13"/>
  <c r="M35" i="13"/>
  <c r="I33" i="13"/>
  <c r="Q32" i="13"/>
  <c r="E32" i="13"/>
  <c r="L31" i="13"/>
  <c r="S30" i="13"/>
  <c r="H30" i="13"/>
  <c r="N29" i="13"/>
  <c r="D29" i="13"/>
  <c r="J28" i="13"/>
  <c r="R26" i="13"/>
  <c r="F26" i="13"/>
  <c r="M25" i="13"/>
  <c r="I24" i="13"/>
  <c r="Q23" i="13"/>
  <c r="E23" i="13"/>
  <c r="L22" i="13"/>
  <c r="S21" i="13"/>
  <c r="M21" i="13"/>
  <c r="H21" i="13"/>
  <c r="N20" i="13"/>
  <c r="I20" i="13"/>
  <c r="D20" i="13"/>
  <c r="Q19" i="13"/>
  <c r="J19" i="13"/>
  <c r="E19" i="13"/>
  <c r="R18" i="13"/>
  <c r="L18" i="13"/>
  <c r="F18" i="13"/>
  <c r="S17" i="13"/>
  <c r="M17" i="13"/>
  <c r="H17" i="13"/>
  <c r="N16" i="13"/>
  <c r="I16" i="13"/>
  <c r="D16" i="13"/>
  <c r="Q15" i="13"/>
  <c r="J15" i="13"/>
  <c r="H15" i="13"/>
  <c r="E15" i="13"/>
  <c r="R14" i="13"/>
  <c r="N14" i="13"/>
  <c r="L14" i="13"/>
  <c r="I14" i="13"/>
  <c r="F14" i="13"/>
  <c r="D14" i="13"/>
  <c r="S13" i="13"/>
  <c r="Q13" i="13"/>
  <c r="M13" i="13"/>
  <c r="J13" i="13"/>
  <c r="H13" i="13"/>
  <c r="E13" i="13"/>
  <c r="D12" i="13"/>
  <c r="F12" i="13"/>
  <c r="I12" i="13"/>
  <c r="L12" i="13"/>
  <c r="N12" i="13"/>
  <c r="R12" i="13"/>
  <c r="E12" i="13"/>
  <c r="H12" i="13"/>
  <c r="J12" i="13"/>
  <c r="M12" i="13"/>
  <c r="Q12" i="13"/>
  <c r="S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U58" i="14" l="1"/>
  <c r="C39" i="13"/>
  <c r="H107" i="13"/>
  <c r="S107" i="13"/>
  <c r="S27" i="13"/>
  <c r="M27" i="13"/>
  <c r="H27" i="13"/>
  <c r="R27" i="13"/>
  <c r="L27" i="13"/>
  <c r="F27" i="13"/>
  <c r="C14" i="13"/>
  <c r="C16" i="13"/>
  <c r="C20" i="13"/>
  <c r="C29" i="13"/>
  <c r="J67" i="13"/>
  <c r="R67" i="13"/>
  <c r="M67" i="13"/>
  <c r="F67" i="13"/>
  <c r="E67" i="13"/>
  <c r="S67" i="13"/>
  <c r="I67" i="13"/>
  <c r="E107" i="13"/>
  <c r="Q107" i="13"/>
  <c r="D107" i="13"/>
  <c r="I107" i="13"/>
  <c r="N107" i="13"/>
  <c r="L67" i="13"/>
  <c r="Q67" i="13"/>
  <c r="H67" i="13"/>
  <c r="D67" i="13"/>
  <c r="N67" i="13"/>
  <c r="M107" i="13"/>
  <c r="J107" i="13"/>
  <c r="F107" i="13"/>
  <c r="L107" i="13"/>
  <c r="R107" i="13"/>
  <c r="T107" i="13"/>
  <c r="T67" i="13"/>
  <c r="D40" i="13"/>
  <c r="I40" i="13"/>
  <c r="D74" i="13"/>
  <c r="T27" i="13"/>
  <c r="Q27" i="13"/>
  <c r="J27" i="13"/>
  <c r="E27" i="13"/>
  <c r="N27" i="13"/>
  <c r="I27" i="13"/>
  <c r="D27" i="13"/>
  <c r="U38" i="14"/>
  <c r="U4" i="14"/>
  <c r="C18" i="13"/>
  <c r="C19" i="13"/>
  <c r="C21" i="13"/>
  <c r="C22" i="13"/>
  <c r="C26" i="13"/>
  <c r="C31" i="13"/>
  <c r="C12" i="13"/>
  <c r="C13" i="13"/>
  <c r="C15" i="13"/>
  <c r="C24" i="13"/>
  <c r="C33" i="13"/>
  <c r="C17" i="13"/>
  <c r="C23" i="13"/>
  <c r="C25" i="13"/>
  <c r="C28" i="13"/>
  <c r="C30" i="13"/>
  <c r="C32" i="13"/>
  <c r="C35" i="13"/>
  <c r="C92" i="13"/>
  <c r="C53" i="13"/>
  <c r="C56" i="13"/>
  <c r="C73" i="13"/>
  <c r="C99" i="13"/>
  <c r="C101" i="13"/>
  <c r="C102" i="13"/>
  <c r="C106" i="13"/>
  <c r="C111" i="13"/>
  <c r="C59" i="13"/>
  <c r="C62" i="13"/>
  <c r="C71" i="13"/>
  <c r="C63" i="13"/>
  <c r="C72" i="13"/>
  <c r="C66" i="13"/>
  <c r="C52" i="13"/>
  <c r="C58" i="13"/>
  <c r="C61" i="13"/>
  <c r="C65" i="13"/>
  <c r="C70" i="13"/>
  <c r="C75" i="13"/>
  <c r="C95" i="13"/>
  <c r="C93" i="13"/>
  <c r="C97" i="13"/>
  <c r="C55" i="13"/>
  <c r="C54" i="13"/>
  <c r="C57" i="13"/>
  <c r="C60" i="13"/>
  <c r="C64" i="13"/>
  <c r="C68" i="13"/>
  <c r="C69" i="13"/>
  <c r="C94" i="13"/>
  <c r="C96" i="13"/>
  <c r="C98" i="13"/>
  <c r="C100" i="13"/>
  <c r="C104" i="13"/>
  <c r="C109" i="13"/>
  <c r="C113" i="13"/>
  <c r="C103" i="13"/>
  <c r="C105" i="13"/>
  <c r="C108" i="13"/>
  <c r="C110" i="13"/>
  <c r="C112" i="13"/>
  <c r="C115" i="13"/>
  <c r="D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R108" i="14"/>
  <c r="N108" i="14"/>
  <c r="L108" i="14"/>
  <c r="R107" i="14"/>
  <c r="N107" i="14"/>
  <c r="L107" i="14"/>
  <c r="R105" i="14"/>
  <c r="N105" i="14"/>
  <c r="L105" i="14"/>
  <c r="R104" i="14"/>
  <c r="N104" i="14"/>
  <c r="L104" i="14"/>
  <c r="R103" i="14"/>
  <c r="N103" i="14"/>
  <c r="L103" i="14"/>
  <c r="R102" i="14"/>
  <c r="N102" i="14"/>
  <c r="L102" i="14"/>
  <c r="R101" i="14"/>
  <c r="N101" i="14"/>
  <c r="L101" i="14"/>
  <c r="R99" i="14"/>
  <c r="N99" i="14"/>
  <c r="L99" i="14"/>
  <c r="R98" i="14"/>
  <c r="N98" i="14"/>
  <c r="L98" i="14"/>
  <c r="R97" i="14"/>
  <c r="N97" i="14"/>
  <c r="L97" i="14"/>
  <c r="R96" i="14"/>
  <c r="N96" i="14"/>
  <c r="L96" i="14"/>
  <c r="R95" i="14"/>
  <c r="N95" i="14"/>
  <c r="L95" i="14"/>
  <c r="R94" i="14"/>
  <c r="N94" i="14"/>
  <c r="L94" i="14"/>
  <c r="R93" i="14"/>
  <c r="N93" i="14"/>
  <c r="L93" i="14"/>
  <c r="L81" i="14"/>
  <c r="N81" i="14"/>
  <c r="R81" i="14"/>
  <c r="L82" i="14"/>
  <c r="N82" i="14"/>
  <c r="R82" i="14"/>
  <c r="L83" i="14"/>
  <c r="N83" i="14"/>
  <c r="R83" i="14"/>
  <c r="L84" i="14"/>
  <c r="N84" i="14"/>
  <c r="R84" i="14"/>
  <c r="L85" i="14"/>
  <c r="N85" i="14"/>
  <c r="R85" i="14"/>
  <c r="L87" i="14"/>
  <c r="N87" i="14"/>
  <c r="R87" i="14"/>
  <c r="R88" i="14"/>
  <c r="N88" i="14"/>
  <c r="L88" i="14"/>
  <c r="R79" i="14"/>
  <c r="N79" i="14"/>
  <c r="L79" i="14"/>
  <c r="R78" i="14"/>
  <c r="N78" i="14"/>
  <c r="L78" i="14"/>
  <c r="R77" i="14"/>
  <c r="N77" i="14"/>
  <c r="L77" i="14"/>
  <c r="R76" i="14"/>
  <c r="N76" i="14"/>
  <c r="L76" i="14"/>
  <c r="R75" i="14"/>
  <c r="N75" i="14"/>
  <c r="L75" i="14"/>
  <c r="R74" i="14"/>
  <c r="N74" i="14"/>
  <c r="L74" i="14"/>
  <c r="R73" i="14"/>
  <c r="N73" i="14"/>
  <c r="L73" i="14"/>
  <c r="D6" i="13" l="1"/>
  <c r="U3" i="14"/>
  <c r="U9" i="13" s="1"/>
  <c r="U10" i="13" s="1"/>
  <c r="T86" i="14"/>
  <c r="N86" i="14"/>
  <c r="R86" i="14"/>
  <c r="L86" i="14"/>
  <c r="R68" i="14"/>
  <c r="N68" i="14"/>
  <c r="L68" i="14"/>
  <c r="I68" i="14"/>
  <c r="R67" i="14"/>
  <c r="N67" i="14"/>
  <c r="L67" i="14"/>
  <c r="I67" i="14"/>
  <c r="R66" i="14"/>
  <c r="N66" i="14"/>
  <c r="L66" i="14"/>
  <c r="I66" i="14"/>
  <c r="R65" i="14"/>
  <c r="N65" i="14"/>
  <c r="L65" i="14"/>
  <c r="I65" i="14"/>
  <c r="R64" i="14"/>
  <c r="N64" i="14"/>
  <c r="L64" i="14"/>
  <c r="I64" i="14"/>
  <c r="R62" i="14"/>
  <c r="N62" i="14"/>
  <c r="L62" i="14"/>
  <c r="I62" i="14"/>
  <c r="R61" i="14"/>
  <c r="N61" i="14"/>
  <c r="L61" i="14"/>
  <c r="I61" i="14"/>
  <c r="R60" i="14"/>
  <c r="N60" i="14"/>
  <c r="L60" i="14"/>
  <c r="I60" i="14"/>
  <c r="R57" i="14"/>
  <c r="N57" i="14"/>
  <c r="L57" i="14"/>
  <c r="I57" i="14"/>
  <c r="R56" i="14"/>
  <c r="N56" i="14"/>
  <c r="L56" i="14"/>
  <c r="I56" i="14"/>
  <c r="R55" i="14"/>
  <c r="N55" i="14"/>
  <c r="L55" i="14"/>
  <c r="I55" i="14"/>
  <c r="R54" i="14"/>
  <c r="N54" i="14"/>
  <c r="L54" i="14"/>
  <c r="I54" i="14"/>
  <c r="R52" i="14"/>
  <c r="N52" i="14"/>
  <c r="L52" i="14"/>
  <c r="I52" i="14"/>
  <c r="R48" i="14"/>
  <c r="N48" i="14"/>
  <c r="L48" i="14"/>
  <c r="I48" i="14"/>
  <c r="R47" i="14"/>
  <c r="N47" i="14"/>
  <c r="L47" i="14"/>
  <c r="I47" i="14"/>
  <c r="R46" i="14"/>
  <c r="N46" i="14"/>
  <c r="L46" i="14"/>
  <c r="I46" i="14"/>
  <c r="R45" i="14"/>
  <c r="N45" i="14"/>
  <c r="L45" i="14"/>
  <c r="I45" i="14"/>
  <c r="R44" i="14"/>
  <c r="N44" i="14"/>
  <c r="L44" i="14"/>
  <c r="I44" i="14"/>
  <c r="R43" i="14"/>
  <c r="N43" i="14"/>
  <c r="L43" i="14"/>
  <c r="I43" i="14"/>
  <c r="R41" i="14"/>
  <c r="N41" i="14"/>
  <c r="L41" i="14"/>
  <c r="I41" i="14"/>
  <c r="R40" i="14"/>
  <c r="N40" i="14"/>
  <c r="L40" i="14"/>
  <c r="I40" i="14"/>
  <c r="I59" i="14" l="1"/>
  <c r="L59" i="14"/>
  <c r="N59" i="14"/>
  <c r="R59" i="14"/>
  <c r="I63" i="14"/>
  <c r="R37" i="14" l="1"/>
  <c r="N37" i="14"/>
  <c r="L37" i="14"/>
  <c r="I37" i="14"/>
  <c r="R36" i="14"/>
  <c r="N36" i="14"/>
  <c r="L36" i="14"/>
  <c r="I36" i="14"/>
  <c r="R35" i="14"/>
  <c r="N35" i="14"/>
  <c r="L35" i="14"/>
  <c r="I35" i="14"/>
  <c r="R34" i="14"/>
  <c r="N34" i="14"/>
  <c r="L34" i="14"/>
  <c r="I34" i="14"/>
  <c r="R32" i="14"/>
  <c r="N32" i="14"/>
  <c r="L32" i="14"/>
  <c r="I32" i="14"/>
  <c r="R31" i="14"/>
  <c r="N31" i="14"/>
  <c r="L31" i="14"/>
  <c r="I31" i="14"/>
  <c r="R29" i="14"/>
  <c r="N29" i="14"/>
  <c r="L29" i="14"/>
  <c r="I29" i="14"/>
  <c r="R28" i="14"/>
  <c r="N28" i="14"/>
  <c r="L28" i="14"/>
  <c r="I28" i="14"/>
  <c r="R27" i="14"/>
  <c r="N27" i="14"/>
  <c r="L27" i="14"/>
  <c r="I27" i="14"/>
  <c r="R26" i="14"/>
  <c r="N26" i="14"/>
  <c r="L26" i="14"/>
  <c r="I26" i="14"/>
  <c r="R25" i="14"/>
  <c r="N25" i="14"/>
  <c r="L25" i="14"/>
  <c r="I25" i="14"/>
  <c r="R24" i="14"/>
  <c r="N24" i="14"/>
  <c r="L24" i="14"/>
  <c r="I24" i="14"/>
  <c r="R22" i="14"/>
  <c r="N22" i="14"/>
  <c r="L22" i="14"/>
  <c r="I22" i="14"/>
  <c r="R21" i="14"/>
  <c r="N21" i="14"/>
  <c r="L21" i="14"/>
  <c r="I21" i="14"/>
  <c r="R20" i="14"/>
  <c r="N20" i="14"/>
  <c r="L20" i="14"/>
  <c r="I20" i="14"/>
  <c r="R18" i="14"/>
  <c r="N18" i="14"/>
  <c r="L18" i="14"/>
  <c r="I18" i="14"/>
  <c r="R17" i="14"/>
  <c r="N17" i="14"/>
  <c r="L17" i="14"/>
  <c r="I17" i="14"/>
  <c r="R16" i="14"/>
  <c r="N16" i="14"/>
  <c r="L16" i="14"/>
  <c r="I16" i="14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S36" i="14" s="1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R14" i="14"/>
  <c r="N14" i="14"/>
  <c r="L14" i="14"/>
  <c r="I14" i="14"/>
  <c r="R13" i="14"/>
  <c r="M13" i="14"/>
  <c r="L13" i="14"/>
  <c r="I13" i="14"/>
  <c r="R12" i="14"/>
  <c r="M12" i="14"/>
  <c r="L12" i="14"/>
  <c r="I12" i="14"/>
  <c r="R11" i="14"/>
  <c r="N11" i="14"/>
  <c r="M11" i="14"/>
  <c r="L11" i="14"/>
  <c r="I11" i="14"/>
  <c r="E11" i="14"/>
  <c r="R10" i="14"/>
  <c r="N10" i="14"/>
  <c r="M10" i="14"/>
  <c r="L10" i="14"/>
  <c r="I10" i="14"/>
  <c r="R8" i="14"/>
  <c r="M8" i="14"/>
  <c r="L8" i="14"/>
  <c r="I8" i="14"/>
  <c r="E8" i="14"/>
  <c r="R7" i="14"/>
  <c r="M7" i="14"/>
  <c r="L7" i="14"/>
  <c r="I7" i="14"/>
  <c r="R6" i="14"/>
  <c r="N6" i="14"/>
  <c r="M6" i="14"/>
  <c r="L6" i="14"/>
  <c r="I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10" i="14" l="1"/>
  <c r="S12" i="14"/>
  <c r="S13" i="14"/>
  <c r="S8" i="14"/>
  <c r="S14" i="14"/>
  <c r="S18" i="14"/>
  <c r="S24" i="14"/>
  <c r="S28" i="14"/>
  <c r="S34" i="14"/>
  <c r="S7" i="14"/>
  <c r="S6" i="14"/>
  <c r="S11" i="14"/>
  <c r="S20" i="14"/>
  <c r="S25" i="14"/>
  <c r="S29" i="14"/>
  <c r="S35" i="14"/>
  <c r="S77" i="14"/>
  <c r="S74" i="14"/>
  <c r="S102" i="14"/>
  <c r="S95" i="14"/>
  <c r="S93" i="14"/>
  <c r="S78" i="14"/>
  <c r="S75" i="14"/>
  <c r="S81" i="14"/>
  <c r="S82" i="14"/>
  <c r="S83" i="14"/>
  <c r="S84" i="14"/>
  <c r="S85" i="14"/>
  <c r="S87" i="14"/>
  <c r="S108" i="14"/>
  <c r="S107" i="14"/>
  <c r="S105" i="14"/>
  <c r="S104" i="14"/>
  <c r="S103" i="14"/>
  <c r="S101" i="14"/>
  <c r="S99" i="14"/>
  <c r="S98" i="14"/>
  <c r="S97" i="14"/>
  <c r="S96" i="14"/>
  <c r="S94" i="14"/>
  <c r="S88" i="14"/>
  <c r="S79" i="14"/>
  <c r="S76" i="14"/>
  <c r="S73" i="14"/>
  <c r="S16" i="14"/>
  <c r="S21" i="14"/>
  <c r="S26" i="14"/>
  <c r="S31" i="14"/>
  <c r="S50" i="14"/>
  <c r="S67" i="14"/>
  <c r="S62" i="14"/>
  <c r="S56" i="14"/>
  <c r="S48" i="14"/>
  <c r="S44" i="14"/>
  <c r="S57" i="14"/>
  <c r="S52" i="14"/>
  <c r="S45" i="14"/>
  <c r="S66" i="14"/>
  <c r="S61" i="14"/>
  <c r="S55" i="14"/>
  <c r="S47" i="14"/>
  <c r="S43" i="14"/>
  <c r="S65" i="14"/>
  <c r="S60" i="14"/>
  <c r="S54" i="14"/>
  <c r="S46" i="14"/>
  <c r="S41" i="14"/>
  <c r="S68" i="14"/>
  <c r="S64" i="14"/>
  <c r="S40" i="14"/>
  <c r="S17" i="14"/>
  <c r="S22" i="14"/>
  <c r="S27" i="14"/>
  <c r="S32" i="14"/>
  <c r="S37" i="14"/>
  <c r="Q104" i="14"/>
  <c r="Q99" i="14"/>
  <c r="Q95" i="14"/>
  <c r="Q82" i="14"/>
  <c r="Q87" i="14"/>
  <c r="Q77" i="14"/>
  <c r="Q73" i="14"/>
  <c r="Q108" i="14"/>
  <c r="Q103" i="14"/>
  <c r="Q98" i="14"/>
  <c r="Q94" i="14"/>
  <c r="Q83" i="14"/>
  <c r="Q88" i="14"/>
  <c r="Q76" i="14"/>
  <c r="Q107" i="14"/>
  <c r="Q102" i="14"/>
  <c r="Q97" i="14"/>
  <c r="Q93" i="14"/>
  <c r="Q84" i="14"/>
  <c r="Q79" i="14"/>
  <c r="Q75" i="14"/>
  <c r="Q74" i="14"/>
  <c r="Q105" i="14"/>
  <c r="Q101" i="14"/>
  <c r="Q96" i="14"/>
  <c r="Q81" i="14"/>
  <c r="Q85" i="14"/>
  <c r="Q78" i="14"/>
  <c r="Q50" i="14"/>
  <c r="Q67" i="14"/>
  <c r="Q65" i="14"/>
  <c r="Q62" i="14"/>
  <c r="Q60" i="14"/>
  <c r="Q56" i="14"/>
  <c r="Q54" i="14"/>
  <c r="Q48" i="14"/>
  <c r="Q46" i="14"/>
  <c r="Q44" i="14"/>
  <c r="Q41" i="14"/>
  <c r="Q68" i="14"/>
  <c r="Q66" i="14"/>
  <c r="Q64" i="14"/>
  <c r="Q61" i="14"/>
  <c r="Q57" i="14"/>
  <c r="Q55" i="14"/>
  <c r="Q52" i="14"/>
  <c r="Q47" i="14"/>
  <c r="Q45" i="14"/>
  <c r="Q43" i="14"/>
  <c r="Q40" i="14"/>
  <c r="Q17" i="14"/>
  <c r="Q20" i="14"/>
  <c r="Q22" i="14"/>
  <c r="Q25" i="14"/>
  <c r="Q27" i="14"/>
  <c r="Q29" i="14"/>
  <c r="Q32" i="14"/>
  <c r="Q35" i="14"/>
  <c r="Q37" i="14"/>
  <c r="Q7" i="14"/>
  <c r="Q14" i="14"/>
  <c r="Q6" i="14"/>
  <c r="Q10" i="14"/>
  <c r="Q11" i="14"/>
  <c r="Q13" i="14"/>
  <c r="Q12" i="14"/>
  <c r="Q8" i="14"/>
  <c r="Q16" i="14"/>
  <c r="Q18" i="14"/>
  <c r="Q21" i="14"/>
  <c r="Q24" i="14"/>
  <c r="Q26" i="14"/>
  <c r="Q28" i="14"/>
  <c r="Q31" i="14"/>
  <c r="Q34" i="14"/>
  <c r="Q36" i="14"/>
  <c r="J35" i="14"/>
  <c r="J25" i="14"/>
  <c r="J29" i="14"/>
  <c r="J50" i="14"/>
  <c r="J66" i="14"/>
  <c r="J61" i="14"/>
  <c r="J55" i="14"/>
  <c r="J47" i="14"/>
  <c r="J43" i="14"/>
  <c r="J57" i="14"/>
  <c r="J45" i="14"/>
  <c r="J65" i="14"/>
  <c r="J54" i="14"/>
  <c r="J67" i="14"/>
  <c r="J62" i="14"/>
  <c r="J56" i="14"/>
  <c r="J48" i="14"/>
  <c r="J44" i="14"/>
  <c r="J68" i="14"/>
  <c r="J64" i="14"/>
  <c r="J52" i="14"/>
  <c r="J40" i="14"/>
  <c r="J60" i="14"/>
  <c r="J41" i="14"/>
  <c r="J46" i="14"/>
  <c r="J18" i="14"/>
  <c r="J24" i="14"/>
  <c r="J28" i="14"/>
  <c r="J34" i="14"/>
  <c r="J13" i="14"/>
  <c r="J7" i="14"/>
  <c r="J11" i="14"/>
  <c r="J17" i="14"/>
  <c r="J22" i="14"/>
  <c r="J27" i="14"/>
  <c r="J32" i="14"/>
  <c r="J37" i="14"/>
  <c r="J10" i="14"/>
  <c r="J108" i="14"/>
  <c r="J105" i="14"/>
  <c r="J103" i="14"/>
  <c r="J101" i="14"/>
  <c r="J98" i="14"/>
  <c r="J94" i="14"/>
  <c r="J82" i="14"/>
  <c r="J84" i="14"/>
  <c r="J87" i="14"/>
  <c r="J104" i="14"/>
  <c r="J102" i="14"/>
  <c r="J99" i="14"/>
  <c r="J97" i="14"/>
  <c r="J95" i="14"/>
  <c r="J93" i="14"/>
  <c r="J79" i="14"/>
  <c r="J75" i="14"/>
  <c r="J73" i="14"/>
  <c r="J107" i="14"/>
  <c r="J81" i="14"/>
  <c r="J83" i="14"/>
  <c r="J85" i="14"/>
  <c r="J96" i="14"/>
  <c r="J88" i="14"/>
  <c r="J78" i="14"/>
  <c r="J76" i="14"/>
  <c r="J74" i="14"/>
  <c r="J77" i="14"/>
  <c r="J20" i="14"/>
  <c r="J6" i="14"/>
  <c r="J8" i="14"/>
  <c r="J12" i="14"/>
  <c r="J14" i="14"/>
  <c r="J16" i="14"/>
  <c r="J21" i="14"/>
  <c r="J26" i="14"/>
  <c r="J31" i="14"/>
  <c r="J36" i="14"/>
  <c r="H37" i="14"/>
  <c r="H107" i="14"/>
  <c r="H102" i="14"/>
  <c r="H97" i="14"/>
  <c r="H93" i="14"/>
  <c r="H82" i="14"/>
  <c r="H87" i="14"/>
  <c r="H79" i="14"/>
  <c r="H75" i="14"/>
  <c r="H77" i="14"/>
  <c r="H73" i="14"/>
  <c r="H108" i="14"/>
  <c r="H103" i="14"/>
  <c r="H98" i="14"/>
  <c r="H94" i="14"/>
  <c r="H81" i="14"/>
  <c r="H85" i="14"/>
  <c r="H88" i="14"/>
  <c r="H76" i="14"/>
  <c r="H95" i="14"/>
  <c r="H104" i="14"/>
  <c r="H99" i="14"/>
  <c r="H105" i="14"/>
  <c r="H101" i="14"/>
  <c r="H96" i="14"/>
  <c r="H83" i="14"/>
  <c r="H78" i="14"/>
  <c r="H74" i="14"/>
  <c r="H84" i="14"/>
  <c r="H16" i="14"/>
  <c r="H17" i="14"/>
  <c r="H18" i="14"/>
  <c r="H20" i="14"/>
  <c r="H21" i="14"/>
  <c r="H22" i="14"/>
  <c r="H24" i="14"/>
  <c r="H25" i="14"/>
  <c r="H26" i="14"/>
  <c r="H27" i="14"/>
  <c r="H28" i="14"/>
  <c r="H29" i="14"/>
  <c r="H31" i="14"/>
  <c r="H32" i="14"/>
  <c r="H34" i="14"/>
  <c r="H35" i="14"/>
  <c r="H36" i="14"/>
  <c r="H50" i="14"/>
  <c r="H68" i="14"/>
  <c r="H67" i="14"/>
  <c r="H66" i="14"/>
  <c r="H65" i="14"/>
  <c r="H64" i="14"/>
  <c r="H62" i="14"/>
  <c r="H61" i="14"/>
  <c r="H60" i="14"/>
  <c r="H57" i="14"/>
  <c r="H56" i="14"/>
  <c r="H55" i="14"/>
  <c r="H54" i="14"/>
  <c r="H52" i="14"/>
  <c r="H48" i="14"/>
  <c r="H47" i="14"/>
  <c r="H46" i="14"/>
  <c r="H45" i="14"/>
  <c r="H44" i="14"/>
  <c r="H43" i="14"/>
  <c r="H41" i="14"/>
  <c r="H40" i="14"/>
  <c r="F7" i="14"/>
  <c r="F6" i="14"/>
  <c r="F11" i="14"/>
  <c r="F36" i="14"/>
  <c r="F97" i="14"/>
  <c r="F101" i="14"/>
  <c r="F99" i="14"/>
  <c r="F98" i="14"/>
  <c r="F96" i="14"/>
  <c r="F95" i="14"/>
  <c r="F93" i="14"/>
  <c r="F79" i="14"/>
  <c r="F78" i="14"/>
  <c r="F75" i="14"/>
  <c r="F73" i="14"/>
  <c r="F81" i="14"/>
  <c r="F82" i="14"/>
  <c r="F84" i="14"/>
  <c r="F87" i="14"/>
  <c r="F74" i="14"/>
  <c r="F108" i="14"/>
  <c r="F107" i="14"/>
  <c r="F105" i="14"/>
  <c r="F104" i="14"/>
  <c r="F103" i="14"/>
  <c r="F102" i="14"/>
  <c r="F94" i="14"/>
  <c r="F88" i="14"/>
  <c r="F77" i="14"/>
  <c r="F76" i="14"/>
  <c r="F83" i="14"/>
  <c r="F85" i="14"/>
  <c r="F18" i="14"/>
  <c r="F24" i="14"/>
  <c r="F28" i="14"/>
  <c r="F34" i="14"/>
  <c r="F12" i="14"/>
  <c r="F14" i="14"/>
  <c r="F13" i="14"/>
  <c r="F20" i="14"/>
  <c r="F25" i="14"/>
  <c r="F29" i="14"/>
  <c r="F35" i="14"/>
  <c r="F8" i="14"/>
  <c r="F16" i="14"/>
  <c r="F31" i="14"/>
  <c r="F50" i="14"/>
  <c r="F49" i="14" s="1"/>
  <c r="F67" i="14"/>
  <c r="F62" i="14"/>
  <c r="F56" i="14"/>
  <c r="F45" i="14"/>
  <c r="F40" i="14"/>
  <c r="F65" i="14"/>
  <c r="F60" i="14"/>
  <c r="F47" i="14"/>
  <c r="F68" i="14"/>
  <c r="F57" i="14"/>
  <c r="F46" i="14"/>
  <c r="F66" i="14"/>
  <c r="F61" i="14"/>
  <c r="F55" i="14"/>
  <c r="F48" i="14"/>
  <c r="F44" i="14"/>
  <c r="F54" i="14"/>
  <c r="F43" i="14"/>
  <c r="F64" i="14"/>
  <c r="F52" i="14"/>
  <c r="F41" i="14"/>
  <c r="F10" i="14"/>
  <c r="F21" i="14"/>
  <c r="F26" i="14"/>
  <c r="F17" i="14"/>
  <c r="F22" i="14"/>
  <c r="F27" i="14"/>
  <c r="F32" i="14"/>
  <c r="F37" i="14"/>
  <c r="D6" i="14"/>
  <c r="D28" i="14"/>
  <c r="D7" i="14"/>
  <c r="D40" i="14"/>
  <c r="D50" i="14"/>
  <c r="D49" i="14" s="1"/>
  <c r="E25" i="14"/>
  <c r="E16" i="14"/>
  <c r="E18" i="14"/>
  <c r="E21" i="14"/>
  <c r="E24" i="14"/>
  <c r="E26" i="14"/>
  <c r="E13" i="14"/>
  <c r="E17" i="14"/>
  <c r="E20" i="14"/>
  <c r="E22" i="14"/>
  <c r="E36" i="14"/>
  <c r="E28" i="14"/>
  <c r="E31" i="14"/>
  <c r="E34" i="14"/>
  <c r="E107" i="14"/>
  <c r="E102" i="14"/>
  <c r="E97" i="14"/>
  <c r="E93" i="14"/>
  <c r="E84" i="14"/>
  <c r="E79" i="14"/>
  <c r="E75" i="14"/>
  <c r="E74" i="14"/>
  <c r="E103" i="14"/>
  <c r="E98" i="14"/>
  <c r="E88" i="14"/>
  <c r="E105" i="14"/>
  <c r="E101" i="14"/>
  <c r="E96" i="14"/>
  <c r="E81" i="14"/>
  <c r="E85" i="14"/>
  <c r="E78" i="14"/>
  <c r="E73" i="14"/>
  <c r="E94" i="14"/>
  <c r="E83" i="14"/>
  <c r="E104" i="14"/>
  <c r="E99" i="14"/>
  <c r="E95" i="14"/>
  <c r="E82" i="14"/>
  <c r="E87" i="14"/>
  <c r="E77" i="14"/>
  <c r="E108" i="14"/>
  <c r="E76" i="14"/>
  <c r="E50" i="14"/>
  <c r="E49" i="14" s="1"/>
  <c r="E48" i="14"/>
  <c r="E46" i="14"/>
  <c r="E44" i="14"/>
  <c r="E41" i="14"/>
  <c r="E56" i="14"/>
  <c r="E68" i="14"/>
  <c r="E66" i="14"/>
  <c r="E64" i="14"/>
  <c r="E61" i="14"/>
  <c r="E57" i="14"/>
  <c r="E55" i="14"/>
  <c r="E52" i="14"/>
  <c r="E65" i="14"/>
  <c r="E62" i="14"/>
  <c r="E47" i="14"/>
  <c r="E45" i="14"/>
  <c r="E43" i="14"/>
  <c r="E40" i="14"/>
  <c r="E67" i="14"/>
  <c r="E60" i="14"/>
  <c r="E54" i="14"/>
  <c r="E27" i="14"/>
  <c r="E29" i="14"/>
  <c r="E32" i="14"/>
  <c r="E35" i="14"/>
  <c r="E37" i="14"/>
  <c r="M16" i="14"/>
  <c r="M14" i="14"/>
  <c r="M36" i="14"/>
  <c r="M21" i="14"/>
  <c r="M26" i="14"/>
  <c r="M31" i="14"/>
  <c r="M50" i="14"/>
  <c r="M68" i="14"/>
  <c r="M64" i="14"/>
  <c r="M57" i="14"/>
  <c r="M52" i="14"/>
  <c r="M48" i="14"/>
  <c r="M44" i="14"/>
  <c r="M65" i="14"/>
  <c r="M60" i="14"/>
  <c r="M54" i="14"/>
  <c r="M45" i="14"/>
  <c r="M40" i="14"/>
  <c r="M43" i="14"/>
  <c r="M66" i="14"/>
  <c r="M61" i="14"/>
  <c r="M55" i="14"/>
  <c r="M46" i="14"/>
  <c r="M41" i="14"/>
  <c r="M67" i="14"/>
  <c r="M62" i="14"/>
  <c r="M56" i="14"/>
  <c r="M47" i="14"/>
  <c r="M20" i="14"/>
  <c r="M25" i="14"/>
  <c r="M29" i="14"/>
  <c r="M35" i="14"/>
  <c r="M18" i="14"/>
  <c r="M24" i="14"/>
  <c r="M28" i="14"/>
  <c r="M34" i="14"/>
  <c r="M17" i="14"/>
  <c r="M22" i="14"/>
  <c r="M27" i="14"/>
  <c r="M32" i="14"/>
  <c r="M37" i="14"/>
  <c r="U108" i="14"/>
  <c r="U105" i="14"/>
  <c r="U103" i="14"/>
  <c r="U101" i="14"/>
  <c r="U98" i="14"/>
  <c r="U96" i="14"/>
  <c r="U94" i="14"/>
  <c r="U107" i="14"/>
  <c r="U104" i="14"/>
  <c r="U102" i="14"/>
  <c r="U99" i="14"/>
  <c r="U97" i="14"/>
  <c r="U95" i="14"/>
  <c r="U93" i="14"/>
  <c r="U88" i="14"/>
  <c r="U85" i="14"/>
  <c r="U83" i="14"/>
  <c r="U81" i="14"/>
  <c r="U78" i="14"/>
  <c r="U76" i="14"/>
  <c r="U74" i="14"/>
  <c r="U87" i="14"/>
  <c r="U84" i="14"/>
  <c r="U82" i="14"/>
  <c r="U79" i="14"/>
  <c r="U77" i="14"/>
  <c r="U75" i="14"/>
  <c r="U73" i="14"/>
  <c r="M108" i="14"/>
  <c r="M107" i="14"/>
  <c r="M105" i="14"/>
  <c r="M104" i="14"/>
  <c r="M103" i="14"/>
  <c r="M102" i="14"/>
  <c r="M101" i="14"/>
  <c r="M99" i="14"/>
  <c r="M98" i="14"/>
  <c r="M97" i="14"/>
  <c r="M96" i="14"/>
  <c r="M95" i="14"/>
  <c r="M94" i="14"/>
  <c r="M93" i="14"/>
  <c r="M88" i="14"/>
  <c r="M79" i="14"/>
  <c r="M78" i="14"/>
  <c r="M77" i="14"/>
  <c r="M76" i="14"/>
  <c r="M75" i="14"/>
  <c r="M73" i="14"/>
  <c r="M81" i="14"/>
  <c r="M82" i="14"/>
  <c r="M83" i="14"/>
  <c r="M84" i="14"/>
  <c r="M85" i="14"/>
  <c r="M87" i="14"/>
  <c r="M86" i="14" s="1"/>
  <c r="M74" i="14"/>
  <c r="I81" i="14"/>
  <c r="I82" i="14"/>
  <c r="I83" i="14"/>
  <c r="I84" i="14"/>
  <c r="I85" i="14"/>
  <c r="I87" i="14"/>
  <c r="I74" i="14"/>
  <c r="I104" i="14"/>
  <c r="I103" i="14"/>
  <c r="I101" i="14"/>
  <c r="I98" i="14"/>
  <c r="I95" i="14"/>
  <c r="I93" i="14"/>
  <c r="I79" i="14"/>
  <c r="I77" i="14"/>
  <c r="I75" i="14"/>
  <c r="I108" i="14"/>
  <c r="I107" i="14"/>
  <c r="I105" i="14"/>
  <c r="I102" i="14"/>
  <c r="I99" i="14"/>
  <c r="I97" i="14"/>
  <c r="I96" i="14"/>
  <c r="I94" i="14"/>
  <c r="I88" i="14"/>
  <c r="I78" i="14"/>
  <c r="I76" i="14"/>
  <c r="I73" i="14"/>
  <c r="D20" i="14"/>
  <c r="D25" i="14"/>
  <c r="D8" i="14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N7" i="14"/>
  <c r="N8" i="14"/>
  <c r="N12" i="14"/>
  <c r="N13" i="14"/>
  <c r="H6" i="14"/>
  <c r="H7" i="14"/>
  <c r="H11" i="14"/>
  <c r="H12" i="14"/>
  <c r="H8" i="14"/>
  <c r="H10" i="14"/>
  <c r="H13" i="14"/>
  <c r="H14" i="14"/>
  <c r="E7" i="14"/>
  <c r="E10" i="14"/>
  <c r="E12" i="14"/>
  <c r="S59" i="14" l="1"/>
  <c r="S86" i="14"/>
  <c r="Q59" i="14"/>
  <c r="Q86" i="14"/>
  <c r="J86" i="14"/>
  <c r="J59" i="14"/>
  <c r="H59" i="14"/>
  <c r="H86" i="14"/>
  <c r="F9" i="14"/>
  <c r="C6" i="14"/>
  <c r="C43" i="14"/>
  <c r="F86" i="14"/>
  <c r="F59" i="14"/>
  <c r="C28" i="14"/>
  <c r="C108" i="14"/>
  <c r="C36" i="14"/>
  <c r="C76" i="14"/>
  <c r="C104" i="14"/>
  <c r="C84" i="14"/>
  <c r="C32" i="14"/>
  <c r="C102" i="14"/>
  <c r="C41" i="14"/>
  <c r="C98" i="14"/>
  <c r="C46" i="14"/>
  <c r="C31" i="14"/>
  <c r="C40" i="14"/>
  <c r="C95" i="14"/>
  <c r="C94" i="14"/>
  <c r="C99" i="14"/>
  <c r="C21" i="14"/>
  <c r="C54" i="14"/>
  <c r="C52" i="14"/>
  <c r="C60" i="14"/>
  <c r="C27" i="14"/>
  <c r="C61" i="14"/>
  <c r="C73" i="14"/>
  <c r="C85" i="14"/>
  <c r="C93" i="14"/>
  <c r="E59" i="14"/>
  <c r="E86" i="14"/>
  <c r="C66" i="14"/>
  <c r="C29" i="14"/>
  <c r="C16" i="14"/>
  <c r="C24" i="14"/>
  <c r="C45" i="14"/>
  <c r="C65" i="14"/>
  <c r="C57" i="14"/>
  <c r="C22" i="14"/>
  <c r="C62" i="14"/>
  <c r="C55" i="14"/>
  <c r="C50" i="14"/>
  <c r="C34" i="14"/>
  <c r="C68" i="14"/>
  <c r="C35" i="14"/>
  <c r="C48" i="14"/>
  <c r="C75" i="14"/>
  <c r="C103" i="14"/>
  <c r="C74" i="14"/>
  <c r="C17" i="14"/>
  <c r="C64" i="14"/>
  <c r="C67" i="14"/>
  <c r="C18" i="14"/>
  <c r="C25" i="14"/>
  <c r="C37" i="14"/>
  <c r="C26" i="14"/>
  <c r="C44" i="14"/>
  <c r="C56" i="14"/>
  <c r="C88" i="14"/>
  <c r="C83" i="14"/>
  <c r="C47" i="14"/>
  <c r="C20" i="14"/>
  <c r="M59" i="14"/>
  <c r="C79" i="14"/>
  <c r="C82" i="14"/>
  <c r="C81" i="14"/>
  <c r="C77" i="14"/>
  <c r="C97" i="14"/>
  <c r="C87" i="14"/>
  <c r="C78" i="14"/>
  <c r="C107" i="14"/>
  <c r="C96" i="14"/>
  <c r="C101" i="14"/>
  <c r="C105" i="14"/>
  <c r="C7" i="14"/>
  <c r="U72" i="14"/>
  <c r="U80" i="14"/>
  <c r="U86" i="14"/>
  <c r="U92" i="14"/>
  <c r="U106" i="14"/>
  <c r="C14" i="14"/>
  <c r="C12" i="14"/>
  <c r="C10" i="14"/>
  <c r="C13" i="14"/>
  <c r="C11" i="14"/>
  <c r="C8" i="14"/>
  <c r="U100" i="14"/>
  <c r="D59" i="14"/>
  <c r="D106" i="14"/>
  <c r="I86" i="14"/>
  <c r="D92" i="14"/>
  <c r="D100" i="14"/>
  <c r="D72" i="14"/>
  <c r="D19" i="14"/>
  <c r="D86" i="14"/>
  <c r="D5" i="14"/>
  <c r="C59" i="14" l="1"/>
  <c r="C86" i="14"/>
  <c r="U91" i="14"/>
  <c r="U89" i="13" s="1"/>
  <c r="U90" i="13" s="1"/>
  <c r="U71" i="14"/>
  <c r="U49" i="13" s="1"/>
  <c r="U50" i="13" s="1"/>
  <c r="E63" i="14"/>
  <c r="F63" i="14"/>
  <c r="H63" i="14"/>
  <c r="J63" i="14"/>
  <c r="L63" i="14"/>
  <c r="M63" i="14"/>
  <c r="N63" i="14"/>
  <c r="Q63" i="14"/>
  <c r="R63" i="14"/>
  <c r="S63" i="14"/>
  <c r="T63" i="14"/>
  <c r="D63" i="14"/>
  <c r="T106" i="14"/>
  <c r="S106" i="14"/>
  <c r="R106" i="14"/>
  <c r="Q106" i="14"/>
  <c r="N106" i="14"/>
  <c r="M106" i="14"/>
  <c r="L106" i="14"/>
  <c r="J106" i="14"/>
  <c r="I106" i="14"/>
  <c r="H106" i="14"/>
  <c r="F106" i="14"/>
  <c r="E106" i="14"/>
  <c r="C106" i="14" l="1"/>
  <c r="E28" i="12" s="1"/>
  <c r="C63" i="14"/>
  <c r="D41" i="13"/>
  <c r="D8" i="13"/>
  <c r="F58" i="14"/>
  <c r="I58" i="14"/>
  <c r="L58" i="14"/>
  <c r="N58" i="14"/>
  <c r="R58" i="14"/>
  <c r="T58" i="14"/>
  <c r="T100" i="14"/>
  <c r="S100" i="14"/>
  <c r="R100" i="14"/>
  <c r="Q100" i="14"/>
  <c r="N100" i="14"/>
  <c r="M100" i="14"/>
  <c r="L100" i="14"/>
  <c r="J100" i="14"/>
  <c r="I100" i="14"/>
  <c r="H100" i="14"/>
  <c r="F100" i="14"/>
  <c r="E100" i="14"/>
  <c r="T92" i="14"/>
  <c r="S92" i="14"/>
  <c r="R92" i="14"/>
  <c r="Q92" i="14"/>
  <c r="N92" i="14"/>
  <c r="M92" i="14"/>
  <c r="L92" i="14"/>
  <c r="J92" i="14"/>
  <c r="I92" i="14"/>
  <c r="H92" i="14"/>
  <c r="F92" i="14"/>
  <c r="E92" i="14"/>
  <c r="T80" i="14"/>
  <c r="S80" i="14"/>
  <c r="R80" i="14"/>
  <c r="Q80" i="14"/>
  <c r="N80" i="14"/>
  <c r="M80" i="14"/>
  <c r="L80" i="14"/>
  <c r="J80" i="14"/>
  <c r="I80" i="14"/>
  <c r="H80" i="14"/>
  <c r="F80" i="14"/>
  <c r="E80" i="14"/>
  <c r="D80" i="14"/>
  <c r="T72" i="14"/>
  <c r="S72" i="14"/>
  <c r="R72" i="14"/>
  <c r="Q72" i="14"/>
  <c r="N72" i="14"/>
  <c r="M72" i="14"/>
  <c r="L72" i="14"/>
  <c r="J72" i="14"/>
  <c r="I72" i="14"/>
  <c r="H72" i="14"/>
  <c r="F72" i="14"/>
  <c r="E72" i="14"/>
  <c r="T53" i="14"/>
  <c r="S53" i="14"/>
  <c r="R53" i="14"/>
  <c r="Q53" i="14"/>
  <c r="N53" i="14"/>
  <c r="M53" i="14"/>
  <c r="L53" i="14"/>
  <c r="J53" i="14"/>
  <c r="I53" i="14"/>
  <c r="H53" i="14"/>
  <c r="F53" i="14"/>
  <c r="E53" i="14"/>
  <c r="D53" i="14"/>
  <c r="T51" i="14"/>
  <c r="S51" i="14"/>
  <c r="R51" i="14"/>
  <c r="Q51" i="14"/>
  <c r="N51" i="14"/>
  <c r="M51" i="14"/>
  <c r="L51" i="14"/>
  <c r="J51" i="14"/>
  <c r="I51" i="14"/>
  <c r="H51" i="14"/>
  <c r="F51" i="14"/>
  <c r="E51" i="14"/>
  <c r="D51" i="14"/>
  <c r="T49" i="14"/>
  <c r="S49" i="14"/>
  <c r="R49" i="14"/>
  <c r="Q49" i="14"/>
  <c r="N49" i="14"/>
  <c r="M49" i="14"/>
  <c r="L49" i="14"/>
  <c r="J49" i="14"/>
  <c r="I49" i="14"/>
  <c r="H49" i="14"/>
  <c r="T42" i="14"/>
  <c r="S42" i="14"/>
  <c r="R42" i="14"/>
  <c r="Q42" i="14"/>
  <c r="N42" i="14"/>
  <c r="M42" i="14"/>
  <c r="L42" i="14"/>
  <c r="J42" i="14"/>
  <c r="I42" i="14"/>
  <c r="H42" i="14"/>
  <c r="F42" i="14"/>
  <c r="E42" i="14"/>
  <c r="D42" i="14"/>
  <c r="T39" i="14"/>
  <c r="S39" i="14"/>
  <c r="R39" i="14"/>
  <c r="Q39" i="14"/>
  <c r="N39" i="14"/>
  <c r="M39" i="14"/>
  <c r="L39" i="14"/>
  <c r="J39" i="14"/>
  <c r="I39" i="14"/>
  <c r="H39" i="14"/>
  <c r="F39" i="14"/>
  <c r="E39" i="14"/>
  <c r="D39" i="14"/>
  <c r="T33" i="14"/>
  <c r="S33" i="14"/>
  <c r="R33" i="14"/>
  <c r="Q33" i="14"/>
  <c r="N33" i="14"/>
  <c r="M33" i="14"/>
  <c r="L33" i="14"/>
  <c r="J33" i="14"/>
  <c r="I33" i="14"/>
  <c r="H33" i="14"/>
  <c r="F33" i="14"/>
  <c r="E33" i="14"/>
  <c r="D33" i="14"/>
  <c r="T30" i="14"/>
  <c r="S30" i="14"/>
  <c r="R30" i="14"/>
  <c r="Q30" i="14"/>
  <c r="N30" i="14"/>
  <c r="M30" i="14"/>
  <c r="L30" i="14"/>
  <c r="J30" i="14"/>
  <c r="I30" i="14"/>
  <c r="H30" i="14"/>
  <c r="F30" i="14"/>
  <c r="E30" i="14"/>
  <c r="D30" i="14"/>
  <c r="T23" i="14"/>
  <c r="S23" i="14"/>
  <c r="R23" i="14"/>
  <c r="Q23" i="14"/>
  <c r="N23" i="14"/>
  <c r="M23" i="14"/>
  <c r="L23" i="14"/>
  <c r="J23" i="14"/>
  <c r="I23" i="14"/>
  <c r="H23" i="14"/>
  <c r="F23" i="14"/>
  <c r="E23" i="14"/>
  <c r="D23" i="14"/>
  <c r="T19" i="14"/>
  <c r="S19" i="14"/>
  <c r="R19" i="14"/>
  <c r="Q19" i="14"/>
  <c r="N19" i="14"/>
  <c r="M19" i="14"/>
  <c r="L19" i="14"/>
  <c r="J19" i="14"/>
  <c r="I19" i="14"/>
  <c r="H19" i="14"/>
  <c r="F19" i="14"/>
  <c r="E19" i="14"/>
  <c r="T15" i="14"/>
  <c r="S15" i="14"/>
  <c r="R15" i="14"/>
  <c r="Q15" i="14"/>
  <c r="N15" i="14"/>
  <c r="M15" i="14"/>
  <c r="L15" i="14"/>
  <c r="J15" i="14"/>
  <c r="I15" i="14"/>
  <c r="H15" i="14"/>
  <c r="F15" i="14"/>
  <c r="E15" i="14"/>
  <c r="D15" i="14"/>
  <c r="T9" i="14"/>
  <c r="S9" i="14"/>
  <c r="R9" i="14"/>
  <c r="Q9" i="14"/>
  <c r="N9" i="14"/>
  <c r="M9" i="14"/>
  <c r="L9" i="14"/>
  <c r="J9" i="14"/>
  <c r="I9" i="14"/>
  <c r="H9" i="14"/>
  <c r="E9" i="14"/>
  <c r="D9" i="14"/>
  <c r="T5" i="14"/>
  <c r="S5" i="14"/>
  <c r="R5" i="14"/>
  <c r="Q5" i="14"/>
  <c r="N5" i="14"/>
  <c r="M5" i="14"/>
  <c r="L5" i="14"/>
  <c r="J5" i="14"/>
  <c r="I5" i="14"/>
  <c r="H5" i="14"/>
  <c r="F5" i="14"/>
  <c r="E5" i="14"/>
  <c r="E24" i="12"/>
  <c r="E23" i="12"/>
  <c r="D24" i="12"/>
  <c r="D23" i="12"/>
  <c r="C24" i="12"/>
  <c r="C23" i="12"/>
  <c r="C33" i="14" l="1"/>
  <c r="C92" i="14"/>
  <c r="E18" i="12" s="1"/>
  <c r="C19" i="14"/>
  <c r="C23" i="14"/>
  <c r="C53" i="14"/>
  <c r="C100" i="14"/>
  <c r="E19" i="12" s="1"/>
  <c r="C5" i="14"/>
  <c r="C9" i="14"/>
  <c r="C15" i="14"/>
  <c r="C30" i="14"/>
  <c r="C39" i="14"/>
  <c r="C49" i="14"/>
  <c r="C51" i="14"/>
  <c r="C72" i="14"/>
  <c r="D18" i="12" s="1"/>
  <c r="C80" i="14"/>
  <c r="D19" i="12" s="1"/>
  <c r="C42" i="14"/>
  <c r="E4" i="14"/>
  <c r="H4" i="14"/>
  <c r="J4" i="14"/>
  <c r="M4" i="14"/>
  <c r="Q4" i="14"/>
  <c r="S4" i="14"/>
  <c r="D38" i="14"/>
  <c r="F38" i="14"/>
  <c r="I38" i="14"/>
  <c r="L38" i="14"/>
  <c r="N38" i="14"/>
  <c r="R38" i="14"/>
  <c r="T38" i="14"/>
  <c r="E38" i="14"/>
  <c r="H38" i="14"/>
  <c r="J38" i="14"/>
  <c r="M38" i="14"/>
  <c r="Q38" i="14"/>
  <c r="S38" i="14"/>
  <c r="F4" i="14"/>
  <c r="I4" i="14"/>
  <c r="L4" i="14"/>
  <c r="N4" i="14"/>
  <c r="R4" i="14"/>
  <c r="T4" i="14"/>
  <c r="D4" i="14"/>
  <c r="M91" i="14"/>
  <c r="M89" i="13" s="1"/>
  <c r="F91" i="14"/>
  <c r="F89" i="13" s="1"/>
  <c r="L91" i="14"/>
  <c r="L89" i="13" s="1"/>
  <c r="R91" i="14"/>
  <c r="R89" i="13" s="1"/>
  <c r="F71" i="14"/>
  <c r="F49" i="13" s="1"/>
  <c r="L71" i="14"/>
  <c r="L49" i="13" s="1"/>
  <c r="R71" i="14"/>
  <c r="R49" i="13" s="1"/>
  <c r="H71" i="14"/>
  <c r="H49" i="13" s="1"/>
  <c r="M71" i="14"/>
  <c r="M49" i="13" s="1"/>
  <c r="S71" i="14"/>
  <c r="S49" i="13" s="1"/>
  <c r="H91" i="14"/>
  <c r="H89" i="13" s="1"/>
  <c r="S91" i="14"/>
  <c r="S89" i="13" s="1"/>
  <c r="D91" i="14"/>
  <c r="E71" i="14"/>
  <c r="E49" i="13" s="1"/>
  <c r="J71" i="14"/>
  <c r="J49" i="13" s="1"/>
  <c r="Q71" i="14"/>
  <c r="I71" i="14"/>
  <c r="I49" i="13" s="1"/>
  <c r="N71" i="14"/>
  <c r="N49" i="13" s="1"/>
  <c r="T71" i="14"/>
  <c r="T49" i="13" s="1"/>
  <c r="E91" i="14"/>
  <c r="E89" i="13" s="1"/>
  <c r="J91" i="14"/>
  <c r="J89" i="13" s="1"/>
  <c r="Q91" i="14"/>
  <c r="I91" i="14"/>
  <c r="I89" i="13" s="1"/>
  <c r="N91" i="14"/>
  <c r="N89" i="13" s="1"/>
  <c r="T91" i="14"/>
  <c r="T89" i="13" s="1"/>
  <c r="D71" i="14"/>
  <c r="D28" i="12"/>
  <c r="S58" i="14"/>
  <c r="M58" i="14"/>
  <c r="H58" i="14"/>
  <c r="D58" i="14"/>
  <c r="Q58" i="14"/>
  <c r="J58" i="14"/>
  <c r="E58" i="14"/>
  <c r="C71" i="14" l="1"/>
  <c r="C58" i="14"/>
  <c r="D89" i="13"/>
  <c r="C91" i="14"/>
  <c r="C38" i="14"/>
  <c r="C4" i="14"/>
  <c r="Q89" i="13"/>
  <c r="P89" i="13"/>
  <c r="P90" i="13" s="1"/>
  <c r="Q49" i="13"/>
  <c r="P49" i="13"/>
  <c r="P50" i="13" s="1"/>
  <c r="D3" i="14"/>
  <c r="T3" i="14"/>
  <c r="T9" i="13" s="1"/>
  <c r="I3" i="14"/>
  <c r="I9" i="13" s="1"/>
  <c r="N3" i="14"/>
  <c r="N9" i="13" s="1"/>
  <c r="D49" i="13"/>
  <c r="Q3" i="14"/>
  <c r="S3" i="14"/>
  <c r="S9" i="13" s="1"/>
  <c r="C28" i="12"/>
  <c r="F3" i="14"/>
  <c r="F9" i="13" s="1"/>
  <c r="J3" i="14"/>
  <c r="J9" i="13" s="1"/>
  <c r="R3" i="14"/>
  <c r="R9" i="13" s="1"/>
  <c r="L3" i="14"/>
  <c r="L9" i="13" s="1"/>
  <c r="M3" i="14"/>
  <c r="M9" i="13" s="1"/>
  <c r="H3" i="14"/>
  <c r="H9" i="13" s="1"/>
  <c r="E3" i="14"/>
  <c r="D9" i="13" l="1"/>
  <c r="D10" i="13" s="1"/>
  <c r="C3" i="14"/>
  <c r="C89" i="13"/>
  <c r="Q9" i="13"/>
  <c r="P9" i="13"/>
  <c r="P10" i="13" s="1"/>
  <c r="C49" i="13"/>
  <c r="C19" i="12"/>
  <c r="C18" i="12"/>
  <c r="E9" i="13"/>
  <c r="C9" i="13" l="1"/>
  <c r="C17" i="12"/>
  <c r="H120" i="13" l="1"/>
  <c r="I120" i="13"/>
  <c r="M120" i="13"/>
  <c r="N120" i="13"/>
  <c r="S120" i="13"/>
  <c r="T120" i="13"/>
  <c r="R120" i="13"/>
  <c r="Q120" i="13"/>
  <c r="L120" i="13"/>
  <c r="F120" i="13"/>
  <c r="E120" i="13"/>
  <c r="T80" i="13"/>
  <c r="S80" i="13"/>
  <c r="R80" i="13"/>
  <c r="Q80" i="13"/>
  <c r="M80" i="13"/>
  <c r="L80" i="13"/>
  <c r="J80" i="13"/>
  <c r="H80" i="13"/>
  <c r="F80" i="13"/>
  <c r="C80" i="13" l="1"/>
  <c r="C120" i="13"/>
  <c r="E27" i="12" s="1"/>
  <c r="E29" i="12" s="1"/>
  <c r="D27" i="12" l="1"/>
  <c r="D29" i="12" s="1"/>
  <c r="E114" i="13"/>
  <c r="E74" i="13"/>
  <c r="E40" i="13"/>
  <c r="E34" i="13"/>
  <c r="T114" i="13"/>
  <c r="S114" i="13"/>
  <c r="R114" i="13"/>
  <c r="Q114" i="13"/>
  <c r="N114" i="13"/>
  <c r="M114" i="13"/>
  <c r="L114" i="13"/>
  <c r="J114" i="13"/>
  <c r="I114" i="13"/>
  <c r="H114" i="13"/>
  <c r="F114" i="13"/>
  <c r="D114" i="13"/>
  <c r="T74" i="13"/>
  <c r="S74" i="13"/>
  <c r="R74" i="13"/>
  <c r="Q74" i="13"/>
  <c r="N74" i="13"/>
  <c r="M74" i="13"/>
  <c r="L74" i="13"/>
  <c r="J74" i="13"/>
  <c r="I74" i="13"/>
  <c r="H74" i="13"/>
  <c r="F74" i="13"/>
  <c r="T40" i="13"/>
  <c r="S40" i="13"/>
  <c r="R40" i="13"/>
  <c r="Q40" i="13"/>
  <c r="N40" i="13"/>
  <c r="M40" i="13"/>
  <c r="L40" i="13"/>
  <c r="J40" i="13"/>
  <c r="H40" i="13"/>
  <c r="F40" i="13"/>
  <c r="T34" i="13"/>
  <c r="S34" i="13"/>
  <c r="R34" i="13"/>
  <c r="Q34" i="13"/>
  <c r="N34" i="13"/>
  <c r="M34" i="13"/>
  <c r="L34" i="13"/>
  <c r="J34" i="13"/>
  <c r="I34" i="13"/>
  <c r="H34" i="13"/>
  <c r="F34" i="13"/>
  <c r="E17" i="12"/>
  <c r="D17" i="12"/>
  <c r="C114" i="13" l="1"/>
  <c r="E16" i="12" s="1"/>
  <c r="C74" i="13"/>
  <c r="D16" i="12" s="1"/>
  <c r="C34" i="13"/>
  <c r="C16" i="12" s="1"/>
  <c r="C27" i="13"/>
  <c r="C15" i="12" s="1"/>
  <c r="C40" i="13"/>
  <c r="C27" i="12" s="1"/>
  <c r="C29" i="12" s="1"/>
  <c r="L41" i="13"/>
  <c r="L81" i="13"/>
  <c r="C107" i="13"/>
  <c r="E15" i="12" s="1"/>
  <c r="T41" i="13"/>
  <c r="C67" i="13"/>
  <c r="D15" i="12" s="1"/>
  <c r="H86" i="13"/>
  <c r="H88" i="13" s="1"/>
  <c r="H90" i="13" s="1"/>
  <c r="M86" i="13"/>
  <c r="M88" i="13" s="1"/>
  <c r="M90" i="13" s="1"/>
  <c r="F86" i="13"/>
  <c r="F88" i="13" s="1"/>
  <c r="F90" i="13" s="1"/>
  <c r="L86" i="13"/>
  <c r="L88" i="13" s="1"/>
  <c r="L90" i="13" s="1"/>
  <c r="R86" i="13"/>
  <c r="R88" i="13" s="1"/>
  <c r="R90" i="13" s="1"/>
  <c r="I86" i="13"/>
  <c r="I88" i="13" s="1"/>
  <c r="I90" i="13" s="1"/>
  <c r="T121" i="13"/>
  <c r="D121" i="13"/>
  <c r="S86" i="13"/>
  <c r="S88" i="13" s="1"/>
  <c r="S90" i="13" s="1"/>
  <c r="S121" i="13"/>
  <c r="H6" i="13"/>
  <c r="H8" i="13" s="1"/>
  <c r="H10" i="13" s="1"/>
  <c r="J6" i="13"/>
  <c r="J8" i="13" s="1"/>
  <c r="J10" i="13" s="1"/>
  <c r="M6" i="13"/>
  <c r="M8" i="13" s="1"/>
  <c r="M10" i="13" s="1"/>
  <c r="S6" i="13"/>
  <c r="S8" i="13" s="1"/>
  <c r="S10" i="13" s="1"/>
  <c r="F46" i="13"/>
  <c r="F48" i="13" s="1"/>
  <c r="F50" i="13" s="1"/>
  <c r="I46" i="13"/>
  <c r="I48" i="13" s="1"/>
  <c r="I50" i="13" s="1"/>
  <c r="L46" i="13"/>
  <c r="L48" i="13" s="1"/>
  <c r="L50" i="13" s="1"/>
  <c r="N46" i="13"/>
  <c r="N48" i="13" s="1"/>
  <c r="N50" i="13" s="1"/>
  <c r="R46" i="13"/>
  <c r="R48" i="13" s="1"/>
  <c r="R50" i="13" s="1"/>
  <c r="E46" i="13"/>
  <c r="E48" i="13" s="1"/>
  <c r="E50" i="13" s="1"/>
  <c r="I81" i="13"/>
  <c r="H46" i="13"/>
  <c r="H48" i="13" s="1"/>
  <c r="H50" i="13" s="1"/>
  <c r="M46" i="13"/>
  <c r="M48" i="13" s="1"/>
  <c r="M50" i="13" s="1"/>
  <c r="S46" i="13"/>
  <c r="S48" i="13" s="1"/>
  <c r="S50" i="13" s="1"/>
  <c r="F6" i="13"/>
  <c r="F8" i="13" s="1"/>
  <c r="F10" i="13" s="1"/>
  <c r="L6" i="13"/>
  <c r="L8" i="13" s="1"/>
  <c r="L10" i="13" s="1"/>
  <c r="R6" i="13"/>
  <c r="R8" i="13" s="1"/>
  <c r="R10" i="13" s="1"/>
  <c r="E6" i="13"/>
  <c r="Q6" i="13"/>
  <c r="Q8" i="13" s="1"/>
  <c r="Q10" i="13" s="1"/>
  <c r="T81" i="13"/>
  <c r="T46" i="13"/>
  <c r="T48" i="13" s="1"/>
  <c r="T50" i="13" s="1"/>
  <c r="N86" i="13"/>
  <c r="N88" i="13" s="1"/>
  <c r="N90" i="13" s="1"/>
  <c r="T86" i="13"/>
  <c r="T88" i="13" s="1"/>
  <c r="T90" i="13" s="1"/>
  <c r="I6" i="13"/>
  <c r="I8" i="13" s="1"/>
  <c r="I10" i="13" s="1"/>
  <c r="N6" i="13"/>
  <c r="N8" i="13" s="1"/>
  <c r="N10" i="13" s="1"/>
  <c r="T6" i="13"/>
  <c r="T8" i="13" s="1"/>
  <c r="T10" i="13" s="1"/>
  <c r="D81" i="13"/>
  <c r="D46" i="13"/>
  <c r="J46" i="13"/>
  <c r="J48" i="13" s="1"/>
  <c r="J50" i="13" s="1"/>
  <c r="Q46" i="13"/>
  <c r="Q48" i="13" s="1"/>
  <c r="Q50" i="13" s="1"/>
  <c r="D86" i="13"/>
  <c r="J86" i="13"/>
  <c r="J88" i="13" s="1"/>
  <c r="J90" i="13" s="1"/>
  <c r="Q86" i="13"/>
  <c r="Q88" i="13" s="1"/>
  <c r="Q90" i="13" s="1"/>
  <c r="E86" i="13"/>
  <c r="E88" i="13" s="1"/>
  <c r="E90" i="13" s="1"/>
  <c r="E121" i="13"/>
  <c r="R81" i="13"/>
  <c r="N121" i="13"/>
  <c r="R121" i="13"/>
  <c r="L121" i="13"/>
  <c r="M41" i="13"/>
  <c r="M81" i="13"/>
  <c r="F121" i="13"/>
  <c r="I41" i="13"/>
  <c r="J121" i="13"/>
  <c r="Q121" i="13"/>
  <c r="H121" i="13"/>
  <c r="I121" i="13"/>
  <c r="N41" i="13"/>
  <c r="Q41" i="13"/>
  <c r="R41" i="13"/>
  <c r="J81" i="13"/>
  <c r="Q81" i="13"/>
  <c r="J41" i="13"/>
  <c r="H41" i="13"/>
  <c r="S41" i="13"/>
  <c r="N81" i="13"/>
  <c r="F41" i="13"/>
  <c r="F81" i="13"/>
  <c r="H81" i="13"/>
  <c r="S81" i="13"/>
  <c r="M121" i="13"/>
  <c r="E41" i="13"/>
  <c r="E81" i="13"/>
  <c r="C81" i="13" l="1"/>
  <c r="C121" i="13"/>
  <c r="C41" i="13"/>
  <c r="C6" i="13"/>
  <c r="E8" i="13"/>
  <c r="C86" i="13"/>
  <c r="C46" i="13"/>
  <c r="D14" i="12"/>
  <c r="D20" i="12" s="1"/>
  <c r="D31" i="12" s="1"/>
  <c r="E14" i="12"/>
  <c r="E20" i="12" s="1"/>
  <c r="E31" i="12" s="1"/>
  <c r="C14" i="12"/>
  <c r="C20" i="12" s="1"/>
  <c r="C31" i="12" s="1"/>
  <c r="D48" i="13"/>
  <c r="D88" i="13"/>
  <c r="E10" i="13" l="1"/>
  <c r="C10" i="13" s="1"/>
  <c r="C8" i="13"/>
  <c r="D90" i="13"/>
  <c r="C90" i="13" s="1"/>
  <c r="C88" i="13"/>
  <c r="D50" i="13"/>
  <c r="C50" i="13" s="1"/>
  <c r="C48" i="13"/>
</calcChain>
</file>

<file path=xl/sharedStrings.xml><?xml version="1.0" encoding="utf-8"?>
<sst xmlns="http://schemas.openxmlformats.org/spreadsheetml/2006/main" count="3765" uniqueCount="1706">
  <si>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</si>
  <si>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</si>
  <si>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</si>
  <si>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</si>
  <si>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</si>
  <si>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</si>
  <si>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</si>
  <si>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</si>
  <si>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</si>
  <si>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</si>
  <si>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</si>
  <si>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</si>
  <si>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</si>
  <si>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</si>
  <si>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</si>
  <si>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</si>
  <si>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</si>
  <si>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</si>
  <si>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</si>
  <si>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</si>
  <si>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</si>
  <si>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</si>
  <si>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</si>
  <si>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</si>
  <si>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</si>
  <si>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</si>
  <si>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</si>
  <si>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</si>
  <si>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</si>
  <si>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</si>
  <si>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</si>
  <si>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</si>
  <si>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</si>
  <si>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</si>
  <si>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</si>
  <si>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</si>
  <si>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</si>
  <si>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</si>
  <si>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</si>
  <si>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</si>
  <si>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</si>
  <si>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</si>
  <si>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</si>
  <si>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</si>
  <si>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</si>
  <si>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</si>
  <si>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</si>
  <si>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</si>
  <si>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</si>
  <si>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</si>
  <si>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</si>
  <si>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</si>
  <si>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</si>
  <si>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</si>
  <si>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</si>
  <si>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</si>
  <si>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</si>
  <si>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</si>
  <si>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</si>
  <si>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</si>
  <si>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</si>
  <si>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</si>
  <si>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</si>
  <si>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</si>
  <si>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</si>
  <si>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</si>
  <si>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</si>
  <si>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</si>
  <si>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</si>
  <si>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</si>
  <si>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</si>
  <si>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</si>
  <si>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</si>
  <si>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</si>
  <si>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</si>
  <si>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</si>
  <si>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</si>
  <si>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</si>
  <si>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</si>
  <si>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</si>
  <si>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</si>
  <si>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</si>
  <si>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</si>
  <si>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</si>
  <si>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</si>
  <si>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</si>
  <si>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</si>
  <si>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</si>
  <si>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</si>
  <si>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</si>
  <si>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</si>
  <si>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</si>
  <si>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</si>
  <si>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</si>
  <si>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</si>
  <si>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</si>
  <si>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</si>
  <si>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</si>
  <si>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</si>
  <si>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</si>
  <si>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</si>
  <si>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</si>
  <si>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</si>
  <si>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</si>
  <si>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</si>
  <si>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</si>
  <si>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</si>
  <si>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</si>
  <si>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</si>
  <si>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</si>
  <si>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</si>
  <si>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</si>
  <si>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</si>
  <si>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</si>
  <si>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</si>
  <si>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</si>
  <si>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</si>
  <si>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</si>
  <si>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</si>
  <si>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</si>
  <si>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</si>
  <si>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</si>
  <si>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</si>
  <si>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</si>
  <si>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</si>
  <si>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</si>
  <si>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</si>
  <si>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</si>
  <si>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</si>
  <si>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</si>
  <si>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</si>
  <si>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</si>
  <si>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</si>
  <si>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</si>
  <si>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</si>
  <si>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</si>
  <si>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</si>
  <si>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</si>
  <si>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</si>
  <si>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</si>
  <si>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</si>
  <si>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</si>
  <si>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</si>
  <si>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</si>
  <si>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</si>
  <si>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</si>
  <si>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</si>
  <si>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</si>
  <si>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</si>
  <si>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</si>
  <si>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</si>
  <si>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</si>
  <si>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</si>
  <si>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</si>
  <si>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</si>
  <si>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</si>
  <si>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</si>
  <si>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</si>
  <si>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</si>
  <si>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</si>
  <si>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</si>
  <si>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</si>
  <si>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</si>
  <si>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</si>
  <si>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</si>
  <si>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</si>
  <si>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</si>
  <si>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</si>
  <si>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</si>
  <si>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</si>
  <si>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</si>
  <si>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</si>
  <si>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</si>
  <si>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</si>
  <si>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</si>
  <si>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</si>
  <si>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</si>
  <si>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</si>
  <si>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</si>
  <si>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</si>
  <si>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</si>
  <si>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</si>
  <si>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</si>
  <si>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</si>
  <si>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</si>
  <si>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</si>
  <si>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</si>
  <si>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</si>
  <si>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</si>
  <si>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</si>
  <si>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</si>
  <si>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</si>
  <si>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</si>
  <si>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</si>
  <si>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</si>
  <si>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</si>
  <si>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</si>
  <si>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</si>
  <si>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</si>
  <si>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</si>
  <si>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</si>
  <si>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</si>
  <si>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</si>
  <si>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</si>
  <si>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</si>
  <si>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</si>
  <si>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</si>
  <si>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</si>
  <si>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</si>
  <si>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</si>
  <si>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</si>
  <si>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</si>
  <si>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</si>
  <si>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</si>
  <si>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</si>
  <si>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</si>
  <si>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</si>
  <si>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</si>
  <si>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</si>
  <si>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</si>
  <si>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</si>
  <si>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</si>
  <si>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</si>
  <si>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</si>
  <si>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</si>
  <si>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</si>
  <si>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</si>
  <si>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</si>
  <si>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</si>
  <si>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</si>
  <si>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</si>
  <si>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</si>
  <si>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</si>
  <si>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</si>
  <si>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</si>
  <si>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</si>
  <si>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</si>
  <si>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</si>
  <si>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</si>
  <si>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</si>
  <si>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</si>
  <si>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</si>
  <si>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</si>
  <si>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</si>
  <si>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</si>
  <si>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</si>
  <si>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</si>
  <si>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</si>
  <si>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</si>
  <si>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</si>
  <si>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</si>
  <si>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</si>
  <si>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</si>
  <si>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</si>
  <si>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</si>
  <si>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</si>
  <si>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</si>
  <si>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</si>
  <si>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</si>
  <si>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</si>
  <si>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</si>
  <si>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</si>
  <si>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</si>
  <si>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</si>
  <si>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</si>
  <si>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</si>
  <si>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</si>
  <si>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</si>
  <si>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</si>
  <si>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</si>
  <si>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</si>
  <si>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</si>
  <si>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</si>
  <si>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</si>
  <si>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</si>
  <si>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</si>
  <si>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</si>
  <si>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</si>
  <si>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</si>
  <si>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</si>
  <si>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</si>
  <si>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</si>
  <si>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</si>
  <si>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</si>
  <si>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</si>
  <si>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</si>
  <si>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</si>
  <si>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</si>
  <si>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</si>
  <si>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</si>
  <si>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</si>
  <si>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</si>
  <si>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</si>
  <si>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</si>
  <si>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</si>
  <si>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</si>
  <si>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</si>
  <si>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</si>
  <si>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</si>
  <si>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</si>
  <si>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</si>
  <si>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</si>
  <si>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</si>
  <si>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</si>
  <si>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</si>
  <si>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</si>
  <si>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</si>
  <si>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</si>
  <si>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</si>
  <si>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</si>
  <si>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</si>
  <si>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</si>
  <si>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</si>
  <si>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</si>
  <si>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</si>
  <si>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</si>
  <si>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</si>
  <si>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</si>
  <si>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</si>
  <si>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</si>
  <si>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</si>
  <si>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</si>
  <si>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</si>
  <si>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</si>
  <si>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</si>
  <si>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</si>
  <si>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</si>
  <si>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</si>
  <si>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</si>
  <si>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</si>
  <si>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</si>
  <si>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</si>
  <si>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</si>
  <si>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</si>
  <si>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</si>
  <si>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</si>
  <si>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</si>
  <si>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</si>
  <si>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</si>
  <si>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</si>
  <si>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</si>
  <si>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</si>
  <si>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</si>
  <si>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</si>
  <si>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</si>
  <si>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</si>
  <si>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</si>
  <si>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</si>
  <si>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</si>
  <si>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</si>
  <si>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</si>
  <si>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</si>
  <si>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</si>
  <si>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</si>
  <si>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</si>
  <si>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</si>
  <si>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</si>
  <si>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</si>
  <si>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</si>
  <si>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</si>
  <si>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</si>
  <si>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</si>
  <si>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</si>
  <si>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</si>
  <si>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</si>
  <si>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</si>
  <si>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</si>
  <si>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</si>
  <si>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</si>
  <si>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</si>
  <si>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</si>
  <si>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</si>
  <si>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</si>
  <si>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</si>
  <si>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</si>
  <si>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</si>
  <si>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</si>
  <si>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</si>
  <si>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</si>
  <si>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</si>
  <si>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</si>
  <si>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</si>
  <si>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</si>
  <si>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</si>
  <si>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</si>
  <si>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</si>
  <si>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</si>
  <si>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</si>
  <si>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</si>
  <si>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</si>
  <si>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</si>
  <si>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</si>
  <si>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</si>
  <si>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</si>
  <si>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</si>
  <si>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</si>
  <si>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</si>
  <si>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</si>
  <si>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</si>
  <si>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</si>
  <si>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</si>
  <si>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</si>
  <si>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</si>
  <si>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</si>
  <si>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</si>
  <si>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</si>
  <si>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</si>
  <si>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</si>
  <si>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</si>
  <si>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</si>
  <si>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</si>
  <si>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</si>
  <si>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</si>
  <si>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</si>
  <si>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</si>
  <si>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</si>
  <si>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</si>
  <si>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</si>
  <si>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</si>
  <si>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</si>
  <si>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</si>
  <si>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</si>
  <si>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</si>
  <si>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</si>
  <si>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</si>
  <si>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</si>
  <si>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</si>
  <si>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</si>
  <si>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</si>
  <si>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</si>
  <si>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</si>
  <si>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</si>
  <si>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</si>
  <si>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</si>
  <si>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</si>
  <si>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</si>
  <si>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</si>
  <si>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</si>
  <si>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</si>
  <si>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</si>
  <si>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</si>
  <si>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</si>
  <si>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</si>
  <si>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</si>
  <si>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</si>
  <si>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</si>
  <si>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</si>
  <si>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</si>
  <si>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</si>
  <si>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</si>
  <si>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</si>
  <si>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</si>
  <si>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</si>
  <si>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</si>
  <si>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</si>
  <si>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</si>
  <si>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</si>
  <si>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</si>
  <si>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</si>
  <si>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</si>
  <si>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</si>
  <si>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</si>
  <si>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</si>
  <si>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</si>
  <si>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</si>
  <si>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</si>
  <si>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</si>
  <si>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</si>
  <si>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</si>
  <si>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</si>
  <si>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</si>
  <si>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</si>
  <si>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</si>
  <si>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</si>
  <si>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</si>
  <si>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</si>
  <si>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</si>
  <si>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</si>
  <si>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</si>
  <si>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</si>
  <si>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</si>
  <si>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</si>
  <si>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</si>
  <si>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</si>
  <si>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</si>
  <si>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</si>
  <si>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</si>
  <si>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</si>
  <si>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</si>
  <si>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</si>
  <si>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</si>
  <si>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</si>
  <si>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</si>
  <si>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</si>
  <si>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</si>
  <si>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</si>
  <si>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</si>
  <si>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</si>
  <si>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</si>
  <si>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</si>
  <si>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</si>
  <si>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</si>
  <si>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</si>
  <si>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</si>
  <si>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</si>
  <si>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</si>
  <si>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</si>
  <si>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</si>
  <si>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</si>
  <si>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</si>
  <si>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</si>
  <si>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</si>
  <si>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</si>
  <si>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</si>
  <si>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</si>
  <si>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</si>
  <si>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</si>
  <si>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</si>
  <si>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</si>
  <si>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</si>
  <si>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</si>
  <si>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</si>
  <si>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</si>
  <si>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</si>
  <si>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</si>
  <si>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</si>
  <si>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</si>
  <si>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</si>
  <si>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</si>
  <si>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</si>
  <si>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</si>
  <si>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</si>
  <si>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</si>
  <si>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</si>
  <si>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</si>
  <si>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</si>
  <si>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</si>
  <si>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</si>
  <si>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</si>
  <si>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</si>
  <si>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</si>
  <si>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</si>
  <si>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</si>
  <si>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</si>
  <si>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</si>
  <si>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</si>
  <si>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</si>
  <si>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</si>
  <si>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</si>
  <si>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</si>
  <si>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</si>
  <si>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</si>
  <si>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</si>
  <si>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</si>
  <si>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</si>
  <si>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</si>
  <si>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</si>
  <si>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</si>
  <si>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</si>
  <si>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</si>
  <si>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</si>
  <si>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</si>
  <si>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</si>
  <si>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</si>
  <si>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</si>
  <si>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</si>
  <si>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</si>
  <si>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</si>
  <si>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</si>
  <si>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</si>
  <si>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</si>
  <si>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</si>
  <si>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</si>
  <si>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</si>
  <si>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</si>
  <si>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</si>
  <si>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</si>
  <si>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</si>
  <si>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</si>
  <si>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</si>
  <si>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</si>
  <si>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</si>
  <si>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</si>
  <si>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</si>
  <si>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</si>
  <si>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</si>
  <si>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</si>
  <si>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</si>
  <si>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</si>
  <si>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</si>
  <si>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</si>
  <si>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</si>
  <si>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</si>
  <si>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</si>
  <si>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</si>
  <si>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</si>
  <si>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</si>
  <si>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</si>
  <si>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</si>
  <si>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</si>
  <si>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</si>
  <si>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</si>
  <si>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</si>
  <si>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</si>
  <si>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</si>
  <si>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</si>
  <si>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</si>
  <si>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</si>
  <si>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</si>
  <si>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</si>
  <si>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</si>
  <si>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</si>
  <si>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</si>
  <si>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</si>
  <si>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</si>
  <si>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</si>
  <si>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</si>
  <si>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</si>
  <si>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</si>
  <si>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</si>
  <si>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</si>
  <si>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</si>
  <si>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</si>
  <si>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</si>
  <si>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</si>
  <si>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</si>
  <si>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</si>
  <si>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</si>
  <si>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</si>
  <si>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</si>
  <si>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</si>
  <si>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</si>
  <si>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</si>
  <si>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</si>
  <si>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</si>
  <si>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</si>
  <si>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</si>
  <si>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</si>
  <si>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</si>
  <si>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</si>
  <si>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</si>
  <si>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</si>
  <si>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</si>
  <si>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</si>
  <si>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</si>
  <si>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</si>
  <si>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</si>
  <si>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</si>
  <si>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</si>
  <si>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</si>
  <si>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</si>
  <si>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</si>
  <si>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</si>
  <si>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</si>
  <si>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</si>
  <si>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</si>
  <si>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</si>
  <si>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</si>
  <si>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</si>
  <si>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</si>
  <si>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</si>
  <si>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</si>
  <si>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</si>
  <si>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</si>
  <si>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</si>
  <si>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</si>
  <si>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</si>
  <si>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</si>
  <si>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</si>
  <si>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</si>
  <si>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</si>
  <si>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</si>
  <si>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</si>
  <si>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</si>
  <si>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</si>
  <si>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</si>
  <si>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</si>
  <si>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</si>
  <si>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</si>
  <si>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</si>
  <si>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</si>
  <si>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</si>
  <si>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</si>
  <si>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</si>
  <si>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</si>
  <si>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</si>
  <si>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</si>
  <si>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</si>
  <si>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</si>
  <si>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</si>
  <si>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</si>
  <si>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</si>
  <si>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</si>
  <si>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</si>
  <si>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</si>
  <si>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</si>
  <si>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</si>
  <si>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</si>
  <si>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</si>
  <si>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</si>
  <si>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</si>
  <si>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</si>
  <si>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</si>
  <si>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</si>
  <si>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</si>
  <si>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</si>
  <si>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</si>
  <si>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</si>
  <si>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</si>
  <si>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</si>
  <si>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</si>
  <si>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</si>
  <si>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</si>
  <si>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</si>
  <si>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</si>
  <si>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</si>
  <si>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</si>
  <si>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</si>
  <si>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</si>
  <si>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</si>
  <si>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</si>
  <si>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</si>
  <si>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</si>
  <si>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</si>
  <si>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</si>
  <si>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</si>
  <si>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</si>
  <si>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</si>
  <si>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</si>
  <si>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</si>
  <si>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</si>
  <si>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</si>
  <si>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</si>
  <si>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</si>
  <si>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</si>
  <si>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</si>
  <si>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</si>
  <si>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</si>
  <si>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</si>
  <si>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</si>
  <si>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</si>
  <si>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</si>
  <si>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</si>
  <si>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</si>
  <si>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</si>
  <si>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</si>
  <si>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</si>
  <si>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</si>
  <si>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</si>
  <si>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</si>
  <si>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</si>
  <si>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</si>
  <si>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</si>
  <si>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</si>
  <si>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</si>
  <si>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</si>
  <si>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</si>
  <si>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</si>
  <si>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</si>
  <si>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</si>
  <si>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</si>
  <si>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</si>
  <si>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</si>
  <si>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</si>
  <si>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</si>
  <si>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</si>
  <si>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</si>
  <si>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</si>
  <si>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</si>
  <si>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</si>
  <si>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</si>
  <si>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</si>
  <si>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</si>
  <si>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</si>
  <si>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</si>
  <si>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</si>
  <si>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</si>
  <si>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</si>
  <si>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</si>
  <si>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</si>
  <si>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</si>
  <si>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</si>
  <si>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</si>
  <si>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</si>
  <si>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</si>
  <si>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</si>
  <si>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</si>
  <si>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</si>
  <si>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</si>
  <si>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</si>
  <si>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</si>
  <si>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</si>
  <si>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</si>
  <si>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</si>
  <si>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</si>
  <si>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</si>
  <si>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</si>
  <si>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</si>
  <si>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</si>
  <si>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</si>
  <si>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</si>
  <si>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</si>
  <si>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</si>
  <si>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</si>
  <si>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</si>
  <si>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</si>
  <si>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</si>
  <si>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</si>
  <si>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</si>
  <si>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</si>
  <si>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</si>
  <si>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</si>
  <si>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</si>
  <si>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</si>
  <si>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</si>
  <si>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</si>
  <si>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</si>
  <si>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</si>
  <si>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</si>
  <si>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</si>
  <si>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</si>
  <si>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</si>
  <si>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</si>
  <si>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</si>
  <si>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</si>
  <si>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</si>
  <si>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</si>
  <si>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</si>
  <si>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</si>
  <si>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</si>
  <si>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</si>
  <si>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</si>
  <si>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</si>
  <si>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</si>
  <si>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</si>
  <si>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</si>
  <si>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</si>
  <si>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</si>
  <si>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</si>
  <si>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</si>
  <si>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</si>
  <si>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</si>
  <si>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</si>
  <si>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</si>
  <si>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</si>
  <si>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</si>
  <si>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</si>
  <si>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</si>
  <si>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</si>
  <si>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</si>
  <si>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</si>
  <si>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</si>
  <si>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</si>
  <si>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</si>
  <si>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</si>
  <si>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</si>
  <si>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</si>
  <si>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</si>
  <si>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</si>
  <si>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</si>
  <si>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</si>
  <si>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</si>
  <si>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</si>
  <si>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</si>
  <si>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</si>
  <si>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</si>
  <si>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</si>
  <si>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</si>
  <si>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</si>
  <si>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</si>
  <si>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</si>
  <si>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</si>
  <si>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</si>
  <si>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SVEUČILIŠTE U SPLITU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</si>
  <si>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</si>
  <si>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</si>
  <si>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</si>
  <si>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</si>
  <si>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</si>
  <si>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</si>
  <si>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</si>
  <si>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</si>
  <si>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</si>
  <si>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</si>
  <si>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</si>
  <si>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</si>
  <si>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</si>
  <si>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</si>
  <si>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</si>
  <si>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</si>
  <si>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</si>
  <si>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</si>
  <si>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</si>
  <si>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</si>
  <si>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</si>
  <si>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</si>
  <si>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</si>
  <si>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</si>
  <si>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</si>
  <si>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</si>
  <si>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</si>
  <si>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</si>
  <si>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</si>
  <si>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</si>
  <si>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</si>
  <si>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</si>
  <si>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</si>
  <si>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</si>
  <si>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</si>
  <si>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</si>
  <si>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</si>
  <si>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</si>
  <si>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</si>
  <si>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</si>
  <si>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</si>
  <si>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</si>
  <si>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</si>
  <si>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</si>
  <si>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</si>
  <si>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</si>
  <si>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</si>
  <si>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</si>
  <si>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</si>
  <si>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</si>
  <si>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</si>
  <si>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</si>
  <si>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</si>
  <si>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</si>
  <si>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</si>
  <si>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</si>
  <si>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</si>
  <si>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</si>
  <si>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</si>
  <si>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</si>
  <si>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</si>
  <si>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</si>
  <si>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</si>
  <si>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</si>
  <si>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</si>
  <si>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</si>
  <si>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</si>
  <si>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</si>
  <si>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</si>
  <si>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</si>
  <si>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</si>
  <si>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</si>
  <si>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</si>
  <si>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</si>
  <si>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</si>
  <si>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</si>
  <si>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</si>
  <si>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</si>
  <si>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</si>
  <si>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</si>
  <si>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</si>
  <si>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</si>
  <si>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</si>
  <si>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</si>
  <si>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</si>
  <si>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</si>
  <si>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</si>
  <si>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</si>
  <si>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</si>
  <si>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</si>
  <si>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</si>
  <si>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</si>
  <si>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</si>
  <si>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</si>
  <si>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</si>
  <si>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</si>
  <si>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</si>
  <si>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</si>
  <si>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</si>
  <si>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</si>
  <si>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</si>
  <si>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</si>
  <si>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</si>
  <si>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</si>
  <si>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</si>
  <si>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</si>
  <si>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</si>
  <si>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</si>
  <si>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</si>
  <si>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</si>
  <si>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</si>
  <si>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</si>
  <si>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</si>
  <si>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</si>
  <si>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</si>
  <si>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</si>
  <si>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</si>
  <si>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</si>
  <si>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</si>
  <si>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</si>
  <si>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</si>
  <si>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</si>
  <si>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</si>
  <si>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</si>
  <si>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</si>
  <si>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</si>
  <si>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</si>
  <si>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</si>
  <si>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</si>
  <si>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</si>
  <si>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</si>
  <si>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</si>
  <si>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</si>
  <si>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</si>
  <si>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</si>
  <si>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</si>
  <si>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</si>
  <si>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</si>
  <si>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</si>
  <si>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</si>
  <si>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</si>
  <si>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</si>
  <si>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</si>
  <si>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</si>
  <si>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</si>
  <si>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</si>
  <si>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</si>
  <si>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</si>
  <si>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</si>
  <si>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</si>
  <si>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</si>
  <si>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</si>
  <si>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</si>
  <si>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</si>
  <si>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</si>
  <si>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</si>
  <si>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</si>
  <si>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</si>
  <si>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</si>
  <si>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</si>
  <si>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</si>
  <si>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</si>
  <si>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</si>
  <si>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</si>
  <si>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</si>
  <si>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</si>
  <si>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</si>
  <si>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</si>
  <si>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</si>
  <si>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</si>
  <si>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</si>
  <si>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</si>
  <si>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</si>
  <si>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</si>
  <si>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</si>
  <si>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</si>
  <si>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</si>
  <si>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</si>
  <si>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</si>
  <si>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</si>
  <si>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</si>
  <si>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</si>
  <si>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</si>
  <si>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</si>
  <si>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</si>
  <si>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</si>
  <si>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</si>
  <si>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</si>
  <si>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</si>
  <si>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</si>
  <si>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</si>
  <si>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</si>
  <si>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</si>
  <si>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</si>
  <si>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</si>
  <si>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</si>
  <si>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</si>
  <si>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</si>
  <si>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</si>
  <si>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</si>
  <si>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</si>
  <si>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</si>
  <si>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</si>
  <si>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</si>
  <si>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</si>
  <si>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</si>
  <si>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</si>
  <si>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</si>
  <si>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</si>
  <si>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</si>
  <si>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</si>
  <si>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</si>
  <si>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</si>
  <si>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</si>
  <si>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</si>
  <si>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</si>
  <si>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</si>
  <si>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</si>
  <si>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</si>
  <si>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</si>
  <si>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</si>
  <si>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</si>
  <si>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</si>
  <si>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</si>
  <si>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</si>
  <si>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</si>
  <si>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</si>
  <si>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</si>
  <si>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</si>
  <si>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</si>
  <si>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</si>
  <si>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</si>
  <si>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</si>
  <si>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</si>
  <si>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</si>
  <si>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</si>
  <si>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</si>
  <si>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</si>
  <si>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</si>
  <si>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</si>
  <si>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</si>
  <si>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</si>
  <si>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</si>
  <si>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</si>
  <si>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</si>
  <si>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</si>
  <si>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</si>
  <si>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</si>
  <si>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</si>
  <si>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</si>
  <si>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</si>
  <si>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</si>
  <si>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</si>
  <si>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</si>
  <si>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</si>
  <si>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</si>
  <si>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</si>
  <si>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</si>
  <si>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</si>
  <si>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</si>
  <si>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</si>
  <si>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</si>
  <si>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</si>
  <si>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</si>
  <si>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</si>
  <si>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</si>
  <si>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</si>
  <si>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</si>
  <si>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</si>
  <si>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</si>
  <si>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</si>
  <si>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</si>
  <si>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</si>
  <si>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</si>
  <si>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</si>
  <si>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</si>
  <si>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</si>
  <si>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</si>
  <si>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</si>
  <si>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</si>
  <si>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</si>
  <si>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</si>
  <si>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</si>
  <si>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</si>
  <si>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</si>
  <si>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</si>
  <si>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</si>
  <si>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</si>
  <si>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</si>
  <si>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</si>
  <si>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</si>
  <si>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</si>
  <si>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</si>
  <si>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</si>
  <si>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</si>
  <si>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</si>
  <si>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</si>
  <si>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</si>
  <si>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</si>
  <si>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</si>
  <si>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</si>
  <si>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</si>
  <si>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</si>
  <si>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</si>
  <si>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</si>
  <si>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</si>
  <si>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</si>
  <si>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</si>
  <si>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</si>
  <si>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</si>
  <si>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</si>
  <si>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</si>
  <si>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</si>
  <si>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</si>
  <si>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</si>
  <si>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</si>
  <si>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</si>
  <si>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</si>
  <si>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</si>
  <si>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</si>
  <si>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</si>
  <si>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</si>
  <si>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</si>
  <si>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</si>
  <si>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</si>
  <si>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</si>
  <si>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</si>
  <si>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</si>
  <si>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</si>
  <si>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</si>
  <si>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</si>
  <si>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</si>
  <si>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</si>
  <si>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</si>
  <si>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</si>
  <si>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</si>
  <si>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</si>
  <si>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</si>
  <si>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</si>
  <si>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</si>
  <si>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</si>
  <si>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</si>
  <si>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</si>
  <si>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</si>
  <si>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</si>
  <si>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</si>
  <si>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</si>
  <si>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</si>
  <si>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</si>
  <si>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</si>
  <si>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</si>
  <si>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</si>
  <si>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</si>
  <si>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</si>
  <si>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</si>
  <si>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</si>
  <si>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</si>
  <si>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</si>
  <si>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</si>
  <si>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</si>
  <si>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</si>
  <si>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</si>
  <si>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</si>
  <si>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</si>
  <si>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</si>
  <si>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</si>
  <si>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</si>
  <si>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</si>
  <si>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</si>
  <si>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</si>
  <si>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</si>
  <si>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</si>
  <si>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</si>
  <si>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</si>
  <si>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</si>
  <si>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</si>
  <si>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</si>
  <si>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</si>
  <si>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</si>
  <si>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</si>
  <si>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</si>
  <si>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</si>
  <si>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</si>
  <si>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</si>
  <si>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</si>
  <si>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</si>
  <si>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</si>
  <si>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</si>
  <si>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</si>
  <si>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</si>
  <si>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</si>
  <si>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</si>
  <si>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</si>
  <si>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</si>
  <si>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</si>
  <si>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</si>
  <si>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</si>
  <si>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</si>
  <si>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</si>
  <si>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</si>
  <si>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</si>
  <si>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</si>
  <si>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</si>
  <si>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</si>
  <si>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</si>
  <si>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</si>
  <si>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</si>
  <si>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</si>
  <si>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</si>
  <si>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</si>
  <si>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</si>
  <si>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</si>
  <si>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</si>
  <si>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</si>
  <si>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</si>
  <si>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</si>
  <si>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</si>
  <si>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</si>
  <si>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</si>
  <si>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</si>
  <si>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</si>
  <si>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</si>
  <si>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</si>
  <si>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</si>
  <si>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</si>
  <si>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</si>
  <si>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</si>
  <si>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</si>
  <si>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</si>
  <si>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</si>
  <si>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</si>
  <si>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</si>
  <si>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</si>
  <si>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</si>
  <si>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</si>
  <si>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</si>
  <si>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</si>
  <si>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</si>
  <si>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</si>
  <si>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</si>
  <si>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</si>
  <si>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</si>
  <si>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</si>
  <si>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</si>
  <si>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</si>
  <si>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</si>
  <si>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</si>
  <si>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</si>
  <si>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</si>
  <si>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</si>
  <si>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</si>
  <si>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</si>
  <si>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</si>
  <si>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</si>
  <si>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</si>
  <si>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</si>
  <si>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</si>
  <si>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</si>
  <si>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</si>
  <si>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</si>
  <si>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</si>
  <si>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</si>
  <si>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</si>
  <si>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</si>
  <si>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</si>
  <si>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</si>
  <si>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</si>
  <si>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</si>
  <si>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</si>
  <si>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</si>
  <si>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</si>
  <si>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</si>
  <si>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</si>
  <si>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</si>
  <si>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</si>
  <si>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</si>
  <si>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</si>
  <si>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</si>
  <si>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</si>
  <si>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</si>
  <si>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</si>
  <si>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</si>
  <si>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</si>
  <si>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</si>
  <si>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</si>
  <si>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</si>
  <si>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</si>
  <si>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</si>
  <si>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</si>
  <si>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</si>
  <si>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</si>
  <si>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</si>
  <si>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</si>
  <si>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</si>
  <si>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</si>
  <si>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</si>
  <si>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</si>
  <si>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</si>
  <si>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</si>
  <si>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</si>
  <si>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</si>
  <si>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</si>
  <si>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</si>
  <si>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</si>
  <si>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</si>
  <si>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</si>
  <si>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</si>
  <si>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</si>
  <si>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</si>
  <si>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</si>
  <si>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</si>
  <si>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</si>
  <si>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</si>
  <si>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</si>
  <si>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</si>
  <si>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</si>
  <si>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</si>
  <si>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</si>
  <si>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</si>
  <si>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</si>
  <si>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</si>
  <si>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</si>
  <si>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</si>
  <si>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</si>
  <si>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</si>
  <si>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</si>
  <si>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</si>
  <si>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</si>
  <si>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</si>
  <si>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</si>
  <si>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</si>
  <si>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</si>
  <si>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</si>
  <si>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</si>
  <si>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</si>
  <si>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</si>
  <si>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</si>
  <si>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</si>
  <si>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</si>
  <si>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</si>
  <si>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</si>
  <si>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</si>
  <si>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</si>
  <si>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</si>
  <si>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</si>
  <si>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</si>
  <si>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</si>
  <si>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</si>
  <si>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</si>
  <si>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</si>
  <si>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</si>
  <si>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</si>
  <si>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</si>
  <si>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</si>
  <si>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</si>
  <si>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</si>
  <si>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</si>
  <si>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</si>
  <si>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</si>
  <si>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</si>
  <si>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</si>
  <si>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</si>
  <si>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</si>
  <si>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</si>
  <si>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</si>
  <si>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</si>
  <si>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</si>
  <si>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</si>
  <si>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</si>
  <si>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</si>
  <si>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</si>
  <si>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</si>
  <si>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</si>
  <si>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</si>
  <si>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</si>
  <si>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</si>
  <si>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</si>
  <si>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</si>
  <si>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</si>
  <si>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</si>
  <si>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</si>
  <si>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</si>
  <si>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</si>
  <si>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</si>
  <si>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</si>
  <si>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</si>
  <si>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</si>
  <si>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</si>
  <si>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</si>
  <si>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</si>
  <si>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</si>
  <si>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</si>
  <si>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</si>
  <si>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</si>
  <si>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</si>
  <si>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</si>
  <si>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</si>
  <si>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</si>
  <si>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</si>
  <si>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</si>
  <si>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</si>
  <si>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</si>
  <si>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</si>
  <si>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</si>
  <si>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</si>
  <si>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</si>
  <si>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</si>
  <si>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</si>
  <si>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</si>
  <si>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</si>
  <si>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</si>
  <si>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</si>
  <si>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</si>
  <si>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</si>
  <si>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</si>
  <si>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</si>
  <si>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</si>
  <si>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</si>
  <si>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</si>
  <si>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</si>
  <si>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</si>
  <si>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</si>
  <si>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</si>
  <si>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</si>
  <si>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</si>
  <si>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</si>
  <si>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</si>
  <si>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</si>
  <si>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</si>
  <si>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</si>
  <si>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</si>
  <si>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</si>
  <si>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</si>
  <si>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</si>
  <si>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</si>
  <si>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</si>
  <si>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</si>
  <si>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</si>
  <si>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</si>
  <si>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</si>
  <si>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</si>
  <si>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</si>
  <si>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</si>
  <si>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</si>
  <si>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</si>
  <si>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</si>
  <si>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</si>
  <si>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</si>
  <si>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</si>
  <si>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</si>
  <si>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</si>
  <si>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</si>
  <si>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</si>
  <si>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</si>
  <si>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</si>
  <si>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</si>
  <si>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</si>
  <si>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</si>
  <si>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</si>
  <si>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</si>
  <si>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</si>
  <si>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</si>
  <si>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</si>
  <si>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</si>
  <si>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</si>
  <si>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</si>
  <si>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</si>
  <si>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</si>
  <si>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</si>
  <si>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</si>
  <si>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</si>
  <si>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</si>
  <si>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</si>
  <si>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</si>
  <si>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</si>
  <si>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</si>
  <si>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</si>
  <si>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</si>
  <si>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</si>
  <si>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</si>
  <si>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</si>
  <si>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</si>
  <si>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</si>
  <si>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</si>
  <si>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</si>
  <si>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</si>
  <si>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</si>
  <si>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</si>
  <si>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</si>
  <si>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</si>
  <si>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</si>
  <si>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</si>
  <si>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</si>
  <si>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</si>
  <si>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</si>
  <si>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</si>
  <si>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</si>
  <si>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</si>
  <si>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</si>
  <si>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</si>
  <si>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</si>
  <si>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</si>
  <si>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</si>
  <si>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</si>
  <si>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</si>
  <si>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</si>
  <si>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</si>
  <si>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</si>
  <si>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</si>
  <si>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</si>
  <si>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</si>
  <si>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</si>
  <si>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</si>
  <si>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</si>
  <si>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</si>
  <si>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</si>
  <si>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</si>
  <si>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</si>
  <si>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</si>
  <si>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</si>
  <si>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</si>
  <si>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</si>
  <si>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</si>
  <si>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</si>
  <si>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</si>
  <si>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</si>
  <si>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</si>
  <si>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</si>
  <si>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</si>
  <si>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</si>
  <si>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</si>
  <si>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</si>
  <si>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</si>
  <si>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</si>
  <si>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</si>
  <si>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</si>
  <si>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</si>
  <si>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</si>
  <si>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</si>
  <si>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</si>
  <si>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</si>
  <si>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</si>
  <si>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</si>
  <si>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</si>
  <si>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</si>
  <si>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</si>
  <si>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</si>
  <si>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</si>
  <si>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</si>
  <si>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</si>
  <si>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</si>
  <si>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</si>
  <si>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</si>
  <si>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</si>
  <si>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</si>
  <si>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</si>
  <si>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</si>
  <si>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</si>
  <si>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</si>
  <si>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</si>
  <si>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</si>
  <si>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</si>
  <si>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</si>
  <si>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</si>
  <si>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</si>
  <si>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</si>
  <si>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</si>
  <si>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 xml:space="preserve">MINISTARSTVO ZNANOSTI I OBRAZOVANJA 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</si>
  <si>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</si>
  <si>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</si>
  <si>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</si>
  <si>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</si>
  <si>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</si>
  <si>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</si>
  <si>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</si>
  <si>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</si>
  <si>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</si>
  <si>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</si>
  <si>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</si>
  <si>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</si>
  <si>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Ostale refundacije iz sredstava EU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</si>
  <si>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</si>
  <si>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</si>
  <si>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</si>
  <si>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</si>
  <si>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</si>
  <si>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</si>
  <si>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</si>
  <si>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</si>
  <si>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</si>
  <si>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</si>
  <si>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</si>
  <si>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</si>
  <si>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</si>
  <si>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</si>
  <si>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</si>
  <si>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</si>
  <si>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</si>
  <si>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</si>
  <si>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</si>
  <si>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</si>
  <si>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</si>
  <si>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</si>
  <si>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</si>
  <si>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</si>
  <si>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</si>
  <si>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</si>
  <si>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</si>
  <si>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</si>
  <si>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U SPLITU (IZ EVIDENCIJSKIH PRIHODA)</t>
  </si>
  <si>
    <t>EU PROJEKTI SVEUČILIŠTA U ZAGREBU (IZ EVIDENCIJSKIH PRIHODA)</t>
  </si>
  <si>
    <t>EU PROJEKTI SVEUČILIŠTA SJEVER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</si>
  <si>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</si>
  <si>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</si>
  <si>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</si>
  <si>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</si>
  <si>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</si>
  <si>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</si>
  <si>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</si>
  <si>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</si>
  <si>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</si>
  <si>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EU PROJEKTI JAVNIH INSTITUTA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</si>
  <si>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</si>
  <si>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</si>
  <si>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</si>
  <si>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</si>
  <si>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</si>
  <si>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21836 NACIONALNA I SVEUČILIŠNA KNJIŽNICA U ZAGREBU</t>
  </si>
  <si>
    <t>TATJANA MARINCEL BORKOVIĆ</t>
  </si>
  <si>
    <t>01 616 4026</t>
  </si>
  <si>
    <t>tmarincelborkovic@nsk.hr</t>
  </si>
  <si>
    <t>ZAGREB, 06.12.2019.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</si>
</sst>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8"/>
      <color rgb="FFFF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3" fillId="50" borderId="37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7" applyNumberFormat="0" applyProtection="0">
      <alignment horizontal="left" vertical="center" indent="1"/>
    </xf>
    <xf numFmtId="0" fontId="43" fillId="50" borderId="37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7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9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4" fillId="12" borderId="0" xfId="2" applyFont="1" applyFill="1" applyBorder="1" applyAlignment="1" applyProtection="1">
      <alignment horizontal="center" vertical="center"/>
    </xf>
    <xf numFmtId="0" fontId="65" fillId="12" borderId="5" xfId="2" applyNumberFormat="1" applyFont="1" applyFill="1" applyBorder="1" applyAlignment="1" applyProtection="1">
      <alignment horizontal="center" vertical="center" wrapText="1"/>
    </xf>
    <xf numFmtId="0" fontId="65" fillId="12" borderId="5" xfId="2" applyFont="1" applyFill="1" applyBorder="1" applyAlignment="1" applyProtection="1">
      <alignment horizontal="center" vertical="center" wrapText="1"/>
    </xf>
    <xf numFmtId="0" fontId="13" fillId="56" borderId="1" xfId="16" quotePrefix="1" applyFill="1">
      <alignment horizontal="left" vertical="center" indent="1" justifyLastLine="1"/>
    </xf>
    <xf numFmtId="169" fontId="66" fillId="18" borderId="1" xfId="14" quotePrefix="1" applyNumberFormat="1" applyFont="1" applyFill="1" applyAlignment="1">
      <alignment horizontal="left" vertical="center" indent="3" justifyLastLine="1"/>
    </xf>
    <xf numFmtId="0" fontId="66" fillId="18" borderId="1" xfId="14" quotePrefix="1" applyFont="1" applyFill="1">
      <alignment horizontal="left" vertical="center" indent="1" justifyLastLine="1"/>
    </xf>
    <xf numFmtId="169" fontId="66" fillId="18" borderId="1" xfId="15" quotePrefix="1" applyNumberFormat="1" applyFont="1" applyFill="1" applyAlignment="1">
      <alignment horizontal="left" vertical="center" indent="4" justifyLastLine="1"/>
    </xf>
    <xf numFmtId="0" fontId="66" fillId="18" borderId="1" xfId="15" quotePrefix="1" applyFont="1" applyFill="1">
      <alignment horizontal="left" vertical="center" indent="1" justifyLastLine="1"/>
    </xf>
    <xf numFmtId="170" fontId="66" fillId="0" borderId="1" xfId="16" quotePrefix="1" applyNumberFormat="1" applyFont="1" applyFill="1" applyAlignment="1">
      <alignment horizontal="left" vertical="center" indent="5" justifyLastLine="1"/>
    </xf>
    <xf numFmtId="0" fontId="66" fillId="0" borderId="1" xfId="16" quotePrefix="1" applyFont="1" applyFill="1" applyAlignment="1">
      <alignment horizontal="left" vertical="center" wrapText="1" indent="1" justifyLastLine="1"/>
    </xf>
    <xf numFmtId="0" fontId="66" fillId="18" borderId="1" xfId="15" quotePrefix="1" applyFont="1" applyFill="1" applyAlignment="1">
      <alignment horizontal="left" vertical="center" wrapText="1" indent="1" justifyLastLine="1"/>
    </xf>
    <xf numFmtId="0" fontId="66" fillId="18" borderId="1" xfId="14" quotePrefix="1" applyFont="1" applyFill="1" applyAlignment="1">
      <alignment horizontal="left" vertical="center" wrapText="1" indent="1" justifyLastLine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9" fillId="0" borderId="47" xfId="4" applyFont="1" applyBorder="1" applyAlignment="1" applyProtection="1">
      <alignment horizontal="left" vertical="center" wrapText="1"/>
      <protection locked="0"/>
    </xf>
    <xf numFmtId="0" fontId="39" fillId="0" borderId="42" xfId="4" applyFont="1" applyBorder="1" applyAlignment="1" applyProtection="1">
      <alignment horizontal="left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39" xfId="0" applyFont="1" applyBorder="1"/>
    <xf numFmtId="0" fontId="57" fillId="0" borderId="39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4" fillId="12" borderId="25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0" fontId="34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29" xfId="0" applyFont="1" applyFill="1" applyBorder="1" applyAlignment="1">
      <alignment horizontal="center" vertical="center" wrapText="1"/>
    </xf>
    <xf numFmtId="0" fontId="29" fillId="55" borderId="30" xfId="0" applyFont="1" applyFill="1" applyBorder="1" applyAlignment="1">
      <alignment horizontal="center" vertical="center"/>
    </xf>
    <xf numFmtId="0" fontId="29" fillId="55" borderId="31" xfId="0" applyFont="1" applyFill="1" applyBorder="1" applyAlignment="1">
      <alignment horizontal="center" vertical="center" wrapText="1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0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ormal 2" xfId="2" xr:uid="{00000000-0005-0000-0000-000017000000}"/>
    <cellStyle name="Normal 3" xfId="20" xr:uid="{00000000-0005-0000-0000-000018000000}"/>
    <cellStyle name="Normal 3 3" xfId="3" xr:uid="{00000000-0005-0000-0000-000019000000}"/>
    <cellStyle name="Normal 6" xfId="4" xr:uid="{00000000-0005-0000-0000-00001A000000}"/>
    <cellStyle name="Normalno" xfId="0" builtinId="0"/>
    <cellStyle name="Obično_01_ZAGREBAČKA ŽUPANIJA" xfId="73" xr:uid="{00000000-0005-0000-0000-00001B000000}"/>
    <cellStyle name="Obično_14_OSJEČKO-BARANJSKA ŽUPANIJA" xfId="74" xr:uid="{00000000-0005-0000-0000-00001C000000}"/>
    <cellStyle name="Obično_List4" xfId="5" xr:uid="{00000000-0005-0000-0000-00001D000000}"/>
    <cellStyle name="Obično_List7" xfId="6" xr:uid="{00000000-0005-0000-0000-00001E000000}"/>
    <cellStyle name="Obično_List8" xfId="7" xr:uid="{00000000-0005-0000-0000-00001F000000}"/>
    <cellStyle name="Obično_List9" xfId="8" xr:uid="{00000000-0005-0000-0000-000020000000}"/>
    <cellStyle name="SAPBEXaggData" xfId="9" xr:uid="{00000000-0005-0000-0000-000021000000}"/>
    <cellStyle name="SAPBEXaggDataEmph" xfId="42" xr:uid="{00000000-0005-0000-0000-000022000000}"/>
    <cellStyle name="SAPBEXaggItem" xfId="10" xr:uid="{00000000-0005-0000-0000-000023000000}"/>
    <cellStyle name="SAPBEXaggItemX" xfId="43" xr:uid="{00000000-0005-0000-0000-000024000000}"/>
    <cellStyle name="SAPBEXchaText" xfId="11" xr:uid="{00000000-0005-0000-0000-000025000000}"/>
    <cellStyle name="SAPBEXexcBad7" xfId="44" xr:uid="{00000000-0005-0000-0000-000026000000}"/>
    <cellStyle name="SAPBEXexcBad8" xfId="45" xr:uid="{00000000-0005-0000-0000-000027000000}"/>
    <cellStyle name="SAPBEXexcBad9" xfId="46" xr:uid="{00000000-0005-0000-0000-000028000000}"/>
    <cellStyle name="SAPBEXexcCritical4" xfId="47" xr:uid="{00000000-0005-0000-0000-000029000000}"/>
    <cellStyle name="SAPBEXexcCritical5" xfId="48" xr:uid="{00000000-0005-0000-0000-00002A000000}"/>
    <cellStyle name="SAPBEXexcCritical6" xfId="49" xr:uid="{00000000-0005-0000-0000-00002B000000}"/>
    <cellStyle name="SAPBEXexcGood1" xfId="50" xr:uid="{00000000-0005-0000-0000-00002C000000}"/>
    <cellStyle name="SAPBEXexcGood2" xfId="51" xr:uid="{00000000-0005-0000-0000-00002D000000}"/>
    <cellStyle name="SAPBEXexcGood3" xfId="52" xr:uid="{00000000-0005-0000-0000-00002E000000}"/>
    <cellStyle name="SAPBEXfilterDrill" xfId="53" xr:uid="{00000000-0005-0000-0000-00002F000000}"/>
    <cellStyle name="SAPBEXfilterItem" xfId="54" xr:uid="{00000000-0005-0000-0000-000030000000}"/>
    <cellStyle name="SAPBEXfilterText" xfId="55" xr:uid="{00000000-0005-0000-0000-000031000000}"/>
    <cellStyle name="SAPBEXformats" xfId="12" xr:uid="{00000000-0005-0000-0000-000032000000}"/>
    <cellStyle name="SAPBEXheaderItem" xfId="56" xr:uid="{00000000-0005-0000-0000-000033000000}"/>
    <cellStyle name="SAPBEXheaderText" xfId="57" xr:uid="{00000000-0005-0000-0000-000034000000}"/>
    <cellStyle name="SAPBEXHLevel0" xfId="13" xr:uid="{00000000-0005-0000-0000-000035000000}"/>
    <cellStyle name="SAPBEXHLevel0X" xfId="58" xr:uid="{00000000-0005-0000-0000-000036000000}"/>
    <cellStyle name="SAPBEXHLevel1" xfId="14" xr:uid="{00000000-0005-0000-0000-000037000000}"/>
    <cellStyle name="SAPBEXHLevel1X" xfId="59" xr:uid="{00000000-0005-0000-0000-000038000000}"/>
    <cellStyle name="SAPBEXHLevel2" xfId="15" xr:uid="{00000000-0005-0000-0000-000039000000}"/>
    <cellStyle name="SAPBEXHLevel2X" xfId="60" xr:uid="{00000000-0005-0000-0000-00003A000000}"/>
    <cellStyle name="SAPBEXHLevel3" xfId="16" xr:uid="{00000000-0005-0000-0000-00003B000000}"/>
    <cellStyle name="SAPBEXHLevel3X" xfId="61" xr:uid="{00000000-0005-0000-0000-00003C000000}"/>
    <cellStyle name="SAPBEXinputData" xfId="62" xr:uid="{00000000-0005-0000-0000-00003D000000}"/>
    <cellStyle name="SAPBEXItemHeader" xfId="17" xr:uid="{00000000-0005-0000-0000-00003E000000}"/>
    <cellStyle name="SAPBEXresData" xfId="63" xr:uid="{00000000-0005-0000-0000-00003F000000}"/>
    <cellStyle name="SAPBEXresDataEmph" xfId="64" xr:uid="{00000000-0005-0000-0000-000040000000}"/>
    <cellStyle name="SAPBEXresItem" xfId="65" xr:uid="{00000000-0005-0000-0000-000041000000}"/>
    <cellStyle name="SAPBEXresItemX" xfId="66" xr:uid="{00000000-0005-0000-0000-000042000000}"/>
    <cellStyle name="SAPBEXstdData" xfId="18" xr:uid="{00000000-0005-0000-0000-000043000000}"/>
    <cellStyle name="SAPBEXstdDataEmph" xfId="67" xr:uid="{00000000-0005-0000-0000-000044000000}"/>
    <cellStyle name="SAPBEXstdItem" xfId="19" xr:uid="{00000000-0005-0000-0000-000045000000}"/>
    <cellStyle name="SAPBEXstdItemX" xfId="68" xr:uid="{00000000-0005-0000-0000-000046000000}"/>
    <cellStyle name="SAPBEXtitle" xfId="69" xr:uid="{00000000-0005-0000-0000-000047000000}"/>
    <cellStyle name="SAPBEXunassignedItem" xfId="70" xr:uid="{00000000-0005-0000-0000-000048000000}"/>
    <cellStyle name="SAPBEXundefined" xfId="71" xr:uid="{00000000-0005-0000-0000-000049000000}"/>
    <cellStyle name="Sheet Title" xfId="72" xr:uid="{00000000-0005-0000-0000-00004A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3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3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3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42</xdr:row>
      <xdr:rowOff>19050</xdr:rowOff>
    </xdr:from>
    <xdr:to>
      <xdr:col>1</xdr:col>
      <xdr:colOff>0</xdr:colOff>
      <xdr:row>44</xdr:row>
      <xdr:rowOff>0</xdr:rowOff>
    </xdr:to>
    <xdr:sp macro="" textlink="">
      <xdr:nvSpPr>
        <xdr:cNvPr id="13317" name="Line 1">
          <a:extLst>
            <a:ext uri="{FF2B5EF4-FFF2-40B4-BE49-F238E27FC236}">
              <a16:creationId xmlns:a16="http://schemas.microsoft.com/office/drawing/2014/main" id="{00000000-0008-0000-0300-000005340000}"/>
            </a:ext>
          </a:extLst>
        </xdr:cNvPr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42</xdr:row>
      <xdr:rowOff>19050</xdr:rowOff>
    </xdr:from>
    <xdr:to>
      <xdr:col>0</xdr:col>
      <xdr:colOff>1085850</xdr:colOff>
      <xdr:row>44</xdr:row>
      <xdr:rowOff>0</xdr:rowOff>
    </xdr:to>
    <xdr:sp macro="" textlink="">
      <xdr:nvSpPr>
        <xdr:cNvPr id="13318" name="Line 2">
          <a:extLst>
            <a:ext uri="{FF2B5EF4-FFF2-40B4-BE49-F238E27FC236}">
              <a16:creationId xmlns:a16="http://schemas.microsoft.com/office/drawing/2014/main" id="{00000000-0008-0000-0300-000006340000}"/>
            </a:ext>
          </a:extLst>
        </xdr:cNvPr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42</xdr:row>
      <xdr:rowOff>19050</xdr:rowOff>
    </xdr:from>
    <xdr:to>
      <xdr:col>1</xdr:col>
      <xdr:colOff>0</xdr:colOff>
      <xdr:row>44</xdr:row>
      <xdr:rowOff>0</xdr:rowOff>
    </xdr:to>
    <xdr:sp macro="" textlink="">
      <xdr:nvSpPr>
        <xdr:cNvPr id="13319" name="Line 1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42</xdr:row>
      <xdr:rowOff>19050</xdr:rowOff>
    </xdr:from>
    <xdr:to>
      <xdr:col>0</xdr:col>
      <xdr:colOff>1085850</xdr:colOff>
      <xdr:row>44</xdr:row>
      <xdr:rowOff>0</xdr:rowOff>
    </xdr:to>
    <xdr:sp macro="" textlink="">
      <xdr:nvSpPr>
        <xdr:cNvPr id="13320" name="Line 2">
          <a:extLst>
            <a:ext uri="{FF2B5EF4-FFF2-40B4-BE49-F238E27FC236}">
              <a16:creationId xmlns:a16="http://schemas.microsoft.com/office/drawing/2014/main" id="{00000000-0008-0000-0300-000008340000}"/>
            </a:ext>
          </a:extLst>
        </xdr:cNvPr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82</xdr:row>
      <xdr:rowOff>19050</xdr:rowOff>
    </xdr:from>
    <xdr:to>
      <xdr:col>1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3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82</xdr:row>
      <xdr:rowOff>19050</xdr:rowOff>
    </xdr:from>
    <xdr:to>
      <xdr:col>0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3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82</xdr:row>
      <xdr:rowOff>19050</xdr:rowOff>
    </xdr:from>
    <xdr:to>
      <xdr:col>1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3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82</xdr:row>
      <xdr:rowOff>19050</xdr:rowOff>
    </xdr:from>
    <xdr:to>
      <xdr:col>0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3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82</xdr:row>
      <xdr:rowOff>19050</xdr:rowOff>
    </xdr:from>
    <xdr:to>
      <xdr:col>1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82</xdr:row>
      <xdr:rowOff>19050</xdr:rowOff>
    </xdr:from>
    <xdr:to>
      <xdr:col>0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82</xdr:row>
      <xdr:rowOff>19050</xdr:rowOff>
    </xdr:from>
    <xdr:to>
      <xdr:col>1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82</xdr:row>
      <xdr:rowOff>19050</xdr:rowOff>
    </xdr:from>
    <xdr:to>
      <xdr:col>0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opLeftCell="A13" workbookViewId="0">
      <selection activeCell="C4" sqref="C4:E4"/>
    </sheetView>
  </sheetViews>
  <sheetFormatPr defaultColWidth="0" defaultRowHeight="12.75" zeroHeight="1"/>
  <cols>
    <col min="1" max="1" width="7.5703125" style="153" customWidth="1"/>
    <col min="2" max="2" width="36.140625" style="153" bestFit="1" customWidth="1"/>
    <col min="3" max="3" width="21.42578125" style="153" customWidth="1"/>
    <col min="4" max="4" width="21.140625" style="153" customWidth="1"/>
    <col min="5" max="5" width="21.7109375" style="153" customWidth="1"/>
    <col min="6" max="10" width="11.42578125" style="153" customWidth="1"/>
    <col min="11" max="12" width="11.42578125" style="153" hidden="1" customWidth="1"/>
    <col min="13" max="13" width="7.85546875" style="153" hidden="1" customWidth="1"/>
    <col min="14" max="14" width="41.28515625" style="153" hidden="1" customWidth="1"/>
    <col min="15" max="28" width="11.42578125" style="153" hidden="1" customWidth="1"/>
    <col min="29" max="16384" width="14.42578125" style="153" hidden="1"/>
  </cols>
  <sheetData>
    <row r="1" spans="1:28"/>
    <row r="2" spans="1:28"/>
    <row r="3" spans="1:28" ht="36.75" customHeight="1" thickBot="1">
      <c r="A3" s="154"/>
      <c r="B3" s="206" t="s">
        <v>383</v>
      </c>
      <c r="C3" s="262" t="s">
        <v>1701</v>
      </c>
      <c r="D3" s="263"/>
      <c r="E3" s="26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1:28" ht="15.75" thickBot="1">
      <c r="A4" s="154"/>
      <c r="B4" s="207" t="s">
        <v>0</v>
      </c>
      <c r="C4" s="265" t="s">
        <v>1705</v>
      </c>
      <c r="D4" s="266"/>
      <c r="E4" s="267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</row>
    <row r="5" spans="1:28" ht="15.75" thickBot="1">
      <c r="A5" s="155"/>
      <c r="B5" s="207" t="s">
        <v>1</v>
      </c>
      <c r="C5" s="265" t="s">
        <v>1702</v>
      </c>
      <c r="D5" s="266"/>
      <c r="E5" s="267"/>
      <c r="F5" s="154"/>
      <c r="G5" s="154"/>
      <c r="H5" s="154"/>
      <c r="I5" s="154"/>
      <c r="J5" s="154"/>
      <c r="K5" s="156" t="s">
        <v>394</v>
      </c>
      <c r="L5" s="156" t="s">
        <v>808</v>
      </c>
      <c r="M5" s="156" t="s">
        <v>395</v>
      </c>
      <c r="N5" s="156" t="s">
        <v>396</v>
      </c>
      <c r="O5" s="156" t="s">
        <v>397</v>
      </c>
      <c r="P5" s="156" t="s">
        <v>398</v>
      </c>
      <c r="Q5" s="156" t="s">
        <v>399</v>
      </c>
      <c r="R5" s="156" t="s">
        <v>400</v>
      </c>
      <c r="S5" s="156" t="s">
        <v>401</v>
      </c>
      <c r="T5" s="156" t="s">
        <v>806</v>
      </c>
      <c r="U5" s="157" t="s">
        <v>239</v>
      </c>
      <c r="V5" s="154"/>
      <c r="W5" s="154"/>
      <c r="X5" s="154"/>
      <c r="Y5" s="154"/>
      <c r="Z5" s="154"/>
      <c r="AA5" s="154"/>
      <c r="AB5" s="154"/>
    </row>
    <row r="6" spans="1:28" ht="15.75" thickBot="1">
      <c r="A6" s="158"/>
      <c r="B6" s="207" t="s">
        <v>2</v>
      </c>
      <c r="C6" s="265" t="s">
        <v>1703</v>
      </c>
      <c r="D6" s="266"/>
      <c r="E6" s="267"/>
      <c r="F6" s="154"/>
      <c r="G6" s="154"/>
      <c r="H6" s="154"/>
      <c r="I6" s="154"/>
      <c r="J6" s="154"/>
      <c r="K6" s="153">
        <v>0</v>
      </c>
      <c r="L6" s="153" t="s">
        <v>809</v>
      </c>
      <c r="T6" s="153" t="s">
        <v>835</v>
      </c>
      <c r="U6" s="153" t="s">
        <v>835</v>
      </c>
      <c r="V6" s="154"/>
      <c r="W6" s="154"/>
      <c r="X6" s="154"/>
      <c r="Y6" s="154"/>
      <c r="Z6" s="154"/>
      <c r="AA6" s="154"/>
      <c r="AB6" s="154"/>
    </row>
    <row r="7" spans="1:28" ht="15.75" thickBot="1">
      <c r="A7" s="158"/>
      <c r="B7" s="207" t="s">
        <v>382</v>
      </c>
      <c r="C7" s="265" t="s">
        <v>1704</v>
      </c>
      <c r="D7" s="266"/>
      <c r="E7" s="267"/>
      <c r="F7" s="154"/>
      <c r="G7" s="154"/>
      <c r="H7" s="154"/>
      <c r="I7" s="154"/>
      <c r="J7" s="154"/>
      <c r="K7" s="159">
        <v>1</v>
      </c>
      <c r="L7" s="159" t="str">
        <f>M7&amp;" "&amp;N7</f>
        <v>2452 SVEUČILIŠTE J.J STROSSMAYERA U OSIJEKU</v>
      </c>
      <c r="M7" s="160">
        <v>2452</v>
      </c>
      <c r="N7" s="161" t="s">
        <v>404</v>
      </c>
      <c r="O7" s="161" t="s">
        <v>404</v>
      </c>
      <c r="P7" s="161" t="s">
        <v>405</v>
      </c>
      <c r="Q7" s="161" t="s">
        <v>406</v>
      </c>
      <c r="R7" s="162">
        <v>3049779</v>
      </c>
      <c r="S7" s="163" t="s">
        <v>407</v>
      </c>
      <c r="T7" s="163" t="s">
        <v>64</v>
      </c>
      <c r="U7" s="164" t="s">
        <v>63</v>
      </c>
      <c r="V7" s="154"/>
      <c r="W7" s="154"/>
      <c r="X7" s="154"/>
      <c r="Y7" s="154"/>
      <c r="Z7" s="154"/>
      <c r="AA7" s="154"/>
      <c r="AB7" s="154"/>
    </row>
    <row r="8" spans="1:28" ht="15">
      <c r="A8" s="158"/>
      <c r="B8" s="158"/>
      <c r="C8" s="154"/>
      <c r="D8" s="154"/>
      <c r="E8" s="154"/>
      <c r="F8" s="154"/>
      <c r="G8" s="154"/>
      <c r="H8" s="154"/>
      <c r="I8" s="154"/>
      <c r="J8" s="154"/>
      <c r="K8" s="159">
        <v>2</v>
      </c>
      <c r="L8" s="159" t="str">
        <f t="shared" ref="L8:L71" si="0">M8&amp;" "&amp;N8</f>
        <v>2284 SVEUČILIŠTE J.J STROSSMAYERA U OSIJEKU - EKONOMSKI FAKULTET</v>
      </c>
      <c r="M8" s="160">
        <v>2284</v>
      </c>
      <c r="N8" s="161" t="s">
        <v>408</v>
      </c>
      <c r="O8" s="161" t="s">
        <v>404</v>
      </c>
      <c r="P8" s="161" t="s">
        <v>409</v>
      </c>
      <c r="Q8" s="161" t="s">
        <v>406</v>
      </c>
      <c r="R8" s="162">
        <v>3021645</v>
      </c>
      <c r="S8" s="163" t="s">
        <v>410</v>
      </c>
      <c r="T8" s="163" t="s">
        <v>64</v>
      </c>
      <c r="U8" s="164" t="s">
        <v>63</v>
      </c>
      <c r="V8" s="154"/>
      <c r="W8" s="154"/>
      <c r="X8" s="154"/>
      <c r="Y8" s="154"/>
      <c r="Z8" s="154"/>
      <c r="AA8" s="154"/>
      <c r="AB8" s="154"/>
    </row>
    <row r="9" spans="1:28" ht="28.5" customHeight="1">
      <c r="B9" s="270" t="s">
        <v>841</v>
      </c>
      <c r="C9" s="269"/>
      <c r="D9" s="269"/>
      <c r="E9" s="269"/>
      <c r="F9" s="154"/>
      <c r="G9" s="154"/>
      <c r="H9" s="154"/>
      <c r="I9" s="154"/>
      <c r="J9" s="154"/>
      <c r="K9" s="159">
        <v>3</v>
      </c>
      <c r="L9" s="159" t="str">
        <f t="shared" si="0"/>
        <v xml:space="preserve">2313 SVEUČILIŠTE J.J.STROSSMAYERA U OSIJEKU - ELEKTROTEHNIČKI FAKULTET </v>
      </c>
      <c r="M9" s="160">
        <v>2313</v>
      </c>
      <c r="N9" s="161" t="s">
        <v>411</v>
      </c>
      <c r="O9" s="161" t="s">
        <v>404</v>
      </c>
      <c r="P9" s="161" t="s">
        <v>412</v>
      </c>
      <c r="Q9" s="161" t="s">
        <v>406</v>
      </c>
      <c r="R9" s="162">
        <v>3392589</v>
      </c>
      <c r="S9" s="163" t="s">
        <v>413</v>
      </c>
      <c r="T9" s="163" t="s">
        <v>64</v>
      </c>
      <c r="U9" s="164" t="s">
        <v>63</v>
      </c>
      <c r="V9" s="154"/>
      <c r="W9" s="154"/>
      <c r="X9" s="154"/>
      <c r="Y9" s="154"/>
      <c r="Z9" s="154"/>
      <c r="AA9" s="154"/>
      <c r="AB9" s="154"/>
    </row>
    <row r="10" spans="1:28" ht="18.75" customHeight="1">
      <c r="B10" s="270" t="s">
        <v>3</v>
      </c>
      <c r="C10" s="269"/>
      <c r="D10" s="269"/>
      <c r="E10" s="269"/>
      <c r="F10" s="154"/>
      <c r="G10" s="154"/>
      <c r="H10" s="154"/>
      <c r="I10" s="154"/>
      <c r="J10" s="154"/>
      <c r="K10" s="159">
        <v>4</v>
      </c>
      <c r="L10" s="159" t="str">
        <f t="shared" si="0"/>
        <v>2321 SVEUČILIŠTE J.J STROSSMAYERA U OSIJEKU - FILOZOFSKI FAKULTET</v>
      </c>
      <c r="M10" s="160">
        <v>2321</v>
      </c>
      <c r="N10" s="161" t="s">
        <v>414</v>
      </c>
      <c r="O10" s="161" t="s">
        <v>404</v>
      </c>
      <c r="P10" s="161" t="s">
        <v>415</v>
      </c>
      <c r="Q10" s="161" t="s">
        <v>406</v>
      </c>
      <c r="R10" s="162">
        <v>3014185</v>
      </c>
      <c r="S10" s="163" t="s">
        <v>416</v>
      </c>
      <c r="T10" s="163" t="s">
        <v>64</v>
      </c>
      <c r="U10" s="164" t="s">
        <v>63</v>
      </c>
      <c r="V10" s="154"/>
      <c r="W10" s="154"/>
      <c r="X10" s="154"/>
      <c r="Y10" s="154"/>
      <c r="Z10" s="154"/>
      <c r="AA10" s="154"/>
      <c r="AB10" s="154"/>
    </row>
    <row r="11" spans="1:28" ht="12" customHeight="1">
      <c r="B11" s="268"/>
      <c r="C11" s="269"/>
      <c r="D11" s="269"/>
      <c r="E11" s="269"/>
      <c r="F11" s="154"/>
      <c r="G11" s="154"/>
      <c r="H11" s="154"/>
      <c r="I11" s="154"/>
      <c r="J11" s="154"/>
      <c r="K11" s="159">
        <v>5</v>
      </c>
      <c r="L11" s="159" t="str">
        <f t="shared" si="0"/>
        <v>2508 SVEUČILIŠTE J.J.STROSSMAYERA U OSIJEKU - GRADSKA I SVEUČILIŠNA KNJIŽNICA</v>
      </c>
      <c r="M11" s="160">
        <v>2508</v>
      </c>
      <c r="N11" s="165" t="s">
        <v>417</v>
      </c>
      <c r="O11" s="161" t="s">
        <v>404</v>
      </c>
      <c r="P11" s="165" t="s">
        <v>418</v>
      </c>
      <c r="Q11" s="165" t="s">
        <v>406</v>
      </c>
      <c r="R11" s="166">
        <v>3014347</v>
      </c>
      <c r="S11" s="163" t="s">
        <v>419</v>
      </c>
      <c r="T11" s="163" t="s">
        <v>64</v>
      </c>
      <c r="U11" s="164" t="s">
        <v>63</v>
      </c>
      <c r="V11" s="154"/>
      <c r="W11" s="154"/>
      <c r="X11" s="154"/>
      <c r="Y11" s="154"/>
      <c r="Z11" s="154"/>
      <c r="AA11" s="154"/>
      <c r="AB11" s="154"/>
    </row>
    <row r="12" spans="1:28" ht="12" customHeight="1">
      <c r="A12" s="167"/>
      <c r="B12" s="167"/>
      <c r="C12" s="154"/>
      <c r="D12" s="154"/>
      <c r="E12" s="154"/>
      <c r="F12" s="154"/>
      <c r="G12" s="154"/>
      <c r="H12" s="154"/>
      <c r="I12" s="154"/>
      <c r="J12" s="154"/>
      <c r="K12" s="159">
        <v>6</v>
      </c>
      <c r="L12" s="159" t="str">
        <f t="shared" si="0"/>
        <v>2250 SVEUČILIŠTE J.J STROSSMAYERA U OSIJEKU - GRAĐEVINSKI FAKULTET</v>
      </c>
      <c r="M12" s="160">
        <v>2250</v>
      </c>
      <c r="N12" s="161" t="s">
        <v>420</v>
      </c>
      <c r="O12" s="161" t="s">
        <v>404</v>
      </c>
      <c r="P12" s="161" t="s">
        <v>421</v>
      </c>
      <c r="Q12" s="161" t="s">
        <v>406</v>
      </c>
      <c r="R12" s="162">
        <v>3397335</v>
      </c>
      <c r="S12" s="163" t="s">
        <v>422</v>
      </c>
      <c r="T12" s="163" t="s">
        <v>64</v>
      </c>
      <c r="U12" s="164" t="s">
        <v>63</v>
      </c>
      <c r="V12" s="154"/>
      <c r="W12" s="154"/>
      <c r="X12" s="154"/>
      <c r="Y12" s="154"/>
      <c r="Z12" s="154"/>
      <c r="AA12" s="154"/>
      <c r="AB12" s="154"/>
    </row>
    <row r="13" spans="1:28" ht="33" customHeight="1">
      <c r="A13" s="168"/>
      <c r="B13" s="168"/>
      <c r="C13" s="168" t="s">
        <v>836</v>
      </c>
      <c r="D13" s="168" t="s">
        <v>837</v>
      </c>
      <c r="E13" s="168" t="s">
        <v>838</v>
      </c>
      <c r="F13" s="169"/>
      <c r="G13" s="154"/>
      <c r="H13" s="154"/>
      <c r="I13" s="154"/>
      <c r="J13" s="154"/>
      <c r="K13" s="159">
        <v>7</v>
      </c>
      <c r="L13" s="159" t="str">
        <f t="shared" si="0"/>
        <v>22849 SVEUČILIŠTE J.J STROSSMAYERA U OSIJEKU - MEDICINSKI FAKULTET</v>
      </c>
      <c r="M13" s="160">
        <v>22849</v>
      </c>
      <c r="N13" s="161" t="s">
        <v>423</v>
      </c>
      <c r="O13" s="161" t="s">
        <v>404</v>
      </c>
      <c r="P13" s="161" t="s">
        <v>424</v>
      </c>
      <c r="Q13" s="161" t="s">
        <v>406</v>
      </c>
      <c r="R13" s="162">
        <v>1388142</v>
      </c>
      <c r="S13" s="163" t="s">
        <v>425</v>
      </c>
      <c r="T13" s="163" t="s">
        <v>64</v>
      </c>
      <c r="U13" s="164" t="s">
        <v>63</v>
      </c>
      <c r="V13" s="154"/>
      <c r="W13" s="154"/>
      <c r="X13" s="154"/>
      <c r="Y13" s="154"/>
      <c r="Z13" s="154"/>
      <c r="AA13" s="154"/>
      <c r="AB13" s="154"/>
    </row>
    <row r="14" spans="1:28" ht="19.5" customHeight="1">
      <c r="A14" s="170"/>
      <c r="B14" s="170" t="s">
        <v>4</v>
      </c>
      <c r="C14" s="171">
        <f>SUM(C15:C16)</f>
        <v>137143478</v>
      </c>
      <c r="D14" s="171">
        <f>+D15+D16</f>
        <v>107065698</v>
      </c>
      <c r="E14" s="171">
        <f>+E15+E16</f>
        <v>107770540</v>
      </c>
      <c r="F14" s="172"/>
      <c r="G14" s="154"/>
      <c r="H14" s="154"/>
      <c r="I14" s="154"/>
      <c r="J14" s="154"/>
      <c r="K14" s="159">
        <v>8</v>
      </c>
      <c r="L14" s="159" t="str">
        <f t="shared" si="0"/>
        <v>2268 SVEUČILIŠTE J.J STROSSMAYERA U OSIJEKU - POLJOPRIVREDNI FAKULTET</v>
      </c>
      <c r="M14" s="160">
        <v>2268</v>
      </c>
      <c r="N14" s="161" t="s">
        <v>426</v>
      </c>
      <c r="O14" s="161" t="s">
        <v>404</v>
      </c>
      <c r="P14" s="161" t="s">
        <v>427</v>
      </c>
      <c r="Q14" s="161" t="s">
        <v>406</v>
      </c>
      <c r="R14" s="162">
        <v>3058212</v>
      </c>
      <c r="S14" s="163" t="s">
        <v>428</v>
      </c>
      <c r="T14" s="163" t="s">
        <v>64</v>
      </c>
      <c r="U14" s="164" t="s">
        <v>63</v>
      </c>
      <c r="V14" s="154"/>
      <c r="W14" s="154"/>
      <c r="X14" s="154"/>
      <c r="Y14" s="154"/>
      <c r="Z14" s="154"/>
      <c r="AA14" s="154"/>
      <c r="AB14" s="154"/>
    </row>
    <row r="15" spans="1:28" ht="19.5" customHeight="1">
      <c r="A15" s="173">
        <v>6</v>
      </c>
      <c r="B15" s="170" t="s">
        <v>5</v>
      </c>
      <c r="C15" s="174">
        <f>'PLAN PRIHODA I PRIMITAKA '!C27</f>
        <v>137142478</v>
      </c>
      <c r="D15" s="174">
        <f>'PLAN PRIHODA I PRIMITAKA '!C67</f>
        <v>107064698</v>
      </c>
      <c r="E15" s="174">
        <f>'PLAN PRIHODA I PRIMITAKA '!C107</f>
        <v>107769540</v>
      </c>
      <c r="F15" s="154"/>
      <c r="G15" s="154"/>
      <c r="H15" s="154"/>
      <c r="I15" s="154"/>
      <c r="J15" s="154"/>
      <c r="K15" s="159">
        <v>9</v>
      </c>
      <c r="L15" s="159" t="str">
        <f t="shared" si="0"/>
        <v>2292 SVEUČILIŠTE J.J STROSSMAYERA U OSIJEKU - PRAVNI FAKULTET</v>
      </c>
      <c r="M15" s="160">
        <v>2292</v>
      </c>
      <c r="N15" s="161" t="s">
        <v>429</v>
      </c>
      <c r="O15" s="161" t="s">
        <v>404</v>
      </c>
      <c r="P15" s="161" t="s">
        <v>430</v>
      </c>
      <c r="Q15" s="161" t="s">
        <v>431</v>
      </c>
      <c r="R15" s="162">
        <v>3014193</v>
      </c>
      <c r="S15" s="163" t="s">
        <v>432</v>
      </c>
      <c r="T15" s="163" t="s">
        <v>64</v>
      </c>
      <c r="U15" s="164" t="s">
        <v>63</v>
      </c>
      <c r="V15" s="154"/>
      <c r="W15" s="154"/>
      <c r="X15" s="154"/>
      <c r="Y15" s="154"/>
      <c r="Z15" s="154"/>
      <c r="AA15" s="154"/>
      <c r="AB15" s="154"/>
    </row>
    <row r="16" spans="1:28" ht="19.5" customHeight="1">
      <c r="A16" s="173">
        <v>7</v>
      </c>
      <c r="B16" s="175" t="s">
        <v>6</v>
      </c>
      <c r="C16" s="174">
        <f>'PLAN PRIHODA I PRIMITAKA '!C34</f>
        <v>1000</v>
      </c>
      <c r="D16" s="174">
        <f>'PLAN PRIHODA I PRIMITAKA '!C74</f>
        <v>1000</v>
      </c>
      <c r="E16" s="174">
        <f>'PLAN PRIHODA I PRIMITAKA '!C114</f>
        <v>1000</v>
      </c>
      <c r="F16" s="154"/>
      <c r="G16" s="176"/>
      <c r="H16" s="154"/>
      <c r="I16" s="154"/>
      <c r="J16" s="154"/>
      <c r="K16" s="159">
        <v>10</v>
      </c>
      <c r="L16" s="159" t="str">
        <f t="shared" si="0"/>
        <v>2276 SVEUČILIŠTE J.J STROSSMAYERA U OSIJEKU - PREHRAMBENO TEHNOLOŠKI FAKULTET</v>
      </c>
      <c r="M16" s="160">
        <v>2276</v>
      </c>
      <c r="N16" s="161" t="s">
        <v>433</v>
      </c>
      <c r="O16" s="161" t="s">
        <v>404</v>
      </c>
      <c r="P16" s="161" t="s">
        <v>434</v>
      </c>
      <c r="Q16" s="161" t="s">
        <v>406</v>
      </c>
      <c r="R16" s="162">
        <v>3058204</v>
      </c>
      <c r="S16" s="163" t="s">
        <v>435</v>
      </c>
      <c r="T16" s="163" t="s">
        <v>64</v>
      </c>
      <c r="U16" s="164" t="s">
        <v>63</v>
      </c>
      <c r="V16" s="154"/>
      <c r="W16" s="154"/>
      <c r="X16" s="154"/>
      <c r="Y16" s="154"/>
      <c r="Z16" s="154"/>
      <c r="AA16" s="154"/>
      <c r="AB16" s="154"/>
    </row>
    <row r="17" spans="1:28" ht="19.5" customHeight="1">
      <c r="A17" s="177"/>
      <c r="B17" s="175" t="s">
        <v>7</v>
      </c>
      <c r="C17" s="178">
        <f>SUM(C18:C19)</f>
        <v>137282228</v>
      </c>
      <c r="D17" s="178">
        <f>+D18+D19</f>
        <v>107065698</v>
      </c>
      <c r="E17" s="178">
        <f>+E18+E19</f>
        <v>107770540</v>
      </c>
      <c r="F17" s="154"/>
      <c r="G17" s="154"/>
      <c r="H17" s="154"/>
      <c r="I17" s="154"/>
      <c r="J17" s="154"/>
      <c r="K17" s="159">
        <v>11</v>
      </c>
      <c r="L17" s="159" t="str">
        <f t="shared" si="0"/>
        <v>2305 SVEUČILIŠTE J.J STROSSMAYERA U OSIJEKU - STROJARSKI FAKULTET U SLAVONSKOME BRODU</v>
      </c>
      <c r="M17" s="160">
        <v>2305</v>
      </c>
      <c r="N17" s="161" t="s">
        <v>436</v>
      </c>
      <c r="O17" s="161" t="s">
        <v>404</v>
      </c>
      <c r="P17" s="161" t="s">
        <v>437</v>
      </c>
      <c r="Q17" s="161" t="s">
        <v>438</v>
      </c>
      <c r="R17" s="162">
        <v>3458091</v>
      </c>
      <c r="S17" s="163" t="s">
        <v>439</v>
      </c>
      <c r="T17" s="163" t="s">
        <v>64</v>
      </c>
      <c r="U17" s="164" t="s">
        <v>63</v>
      </c>
      <c r="V17" s="154"/>
      <c r="W17" s="154"/>
      <c r="X17" s="154"/>
      <c r="Y17" s="154"/>
      <c r="Z17" s="154"/>
      <c r="AA17" s="154"/>
      <c r="AB17" s="154"/>
    </row>
    <row r="18" spans="1:28" ht="19.5" customHeight="1">
      <c r="A18" s="177">
        <v>3</v>
      </c>
      <c r="B18" s="170" t="s">
        <v>8</v>
      </c>
      <c r="C18" s="179">
        <f>'PLAN RASHODA I IZDATAKA'!C4</f>
        <v>98121819</v>
      </c>
      <c r="D18" s="180">
        <f>'PLAN RASHODA I IZDATAKA'!C72</f>
        <v>100971222</v>
      </c>
      <c r="E18" s="180">
        <f>'PLAN RASHODA I IZDATAKA'!C92</f>
        <v>101696377</v>
      </c>
      <c r="F18" s="154"/>
      <c r="G18" s="154"/>
      <c r="H18" s="154"/>
      <c r="I18" s="154"/>
      <c r="J18" s="154"/>
      <c r="K18" s="159">
        <v>12</v>
      </c>
      <c r="L18" s="159" t="str">
        <f t="shared" si="0"/>
        <v>22486 SVEUČILIŠTE J.J STROSSMAYERA U OSIJEKU - FAKULTET ZA ODGOJNE I OBRAZOVNE ZNANOSTI</v>
      </c>
      <c r="M18" s="160">
        <v>22486</v>
      </c>
      <c r="N18" s="161" t="s">
        <v>440</v>
      </c>
      <c r="O18" s="161" t="s">
        <v>404</v>
      </c>
      <c r="P18" s="161" t="s">
        <v>441</v>
      </c>
      <c r="Q18" s="161" t="s">
        <v>406</v>
      </c>
      <c r="R18" s="162">
        <v>1404881</v>
      </c>
      <c r="S18" s="163" t="s">
        <v>442</v>
      </c>
      <c r="T18" s="163" t="s">
        <v>64</v>
      </c>
      <c r="U18" s="164" t="s">
        <v>63</v>
      </c>
      <c r="V18" s="154"/>
      <c r="W18" s="154"/>
      <c r="X18" s="154"/>
      <c r="Y18" s="154"/>
      <c r="Z18" s="154"/>
      <c r="AA18" s="154"/>
      <c r="AB18" s="154"/>
    </row>
    <row r="19" spans="1:28" ht="19.5" customHeight="1">
      <c r="A19" s="173">
        <v>4</v>
      </c>
      <c r="B19" s="175" t="s">
        <v>9</v>
      </c>
      <c r="C19" s="179">
        <f>'PLAN RASHODA I IZDATAKA'!C38</f>
        <v>39160409</v>
      </c>
      <c r="D19" s="180">
        <f>'PLAN RASHODA I IZDATAKA'!C80</f>
        <v>6094476</v>
      </c>
      <c r="E19" s="180">
        <f>'PLAN RASHODA I IZDATAKA'!C100</f>
        <v>6074163</v>
      </c>
      <c r="F19" s="154"/>
      <c r="G19" s="154"/>
      <c r="H19" s="154"/>
      <c r="I19" s="154"/>
      <c r="J19" s="154"/>
      <c r="K19" s="159">
        <v>13</v>
      </c>
      <c r="L19" s="159" t="str">
        <f t="shared" si="0"/>
        <v>38479 SVEUČILIŠTE J.J.STROSSMAYERA U OSIJEKU - KATOLIČKI BOGOSLOVNI FAKULTET U ĐAKOVU</v>
      </c>
      <c r="M19" s="160">
        <v>38479</v>
      </c>
      <c r="N19" s="161" t="s">
        <v>443</v>
      </c>
      <c r="O19" s="161" t="s">
        <v>404</v>
      </c>
      <c r="P19" s="161" t="s">
        <v>444</v>
      </c>
      <c r="Q19" s="161" t="s">
        <v>445</v>
      </c>
      <c r="R19" s="162">
        <v>1986490</v>
      </c>
      <c r="S19" s="163" t="s">
        <v>446</v>
      </c>
      <c r="T19" s="163" t="s">
        <v>64</v>
      </c>
      <c r="U19" s="164" t="s">
        <v>63</v>
      </c>
      <c r="V19" s="154"/>
      <c r="W19" s="154"/>
      <c r="X19" s="154"/>
      <c r="Y19" s="154"/>
      <c r="Z19" s="154"/>
      <c r="AA19" s="154"/>
      <c r="AB19" s="154"/>
    </row>
    <row r="20" spans="1:28" ht="19.5" customHeight="1">
      <c r="A20" s="170"/>
      <c r="B20" s="170" t="s">
        <v>10</v>
      </c>
      <c r="C20" s="171">
        <f>+C14-C17</f>
        <v>-138750</v>
      </c>
      <c r="D20" s="171">
        <f>+D14-D17</f>
        <v>0</v>
      </c>
      <c r="E20" s="171">
        <f>+E14-E17</f>
        <v>0</v>
      </c>
      <c r="F20" s="154"/>
      <c r="G20" s="154"/>
      <c r="H20" s="154"/>
      <c r="I20" s="154"/>
      <c r="J20" s="154"/>
      <c r="K20" s="159">
        <v>14</v>
      </c>
      <c r="L20" s="159" t="str">
        <f t="shared" si="0"/>
        <v>49796 SVEUČILIŠTE J.J.STROSSMAYERA U OSIJEKU - FAKULTET ZA DENTALNU MEDICINU I ZDRAVSTVO</v>
      </c>
      <c r="M20" s="160">
        <v>49796</v>
      </c>
      <c r="N20" s="161" t="s">
        <v>447</v>
      </c>
      <c r="O20" s="161" t="s">
        <v>404</v>
      </c>
      <c r="P20" s="161" t="s">
        <v>448</v>
      </c>
      <c r="Q20" s="161" t="s">
        <v>406</v>
      </c>
      <c r="R20" s="162">
        <v>4748875</v>
      </c>
      <c r="S20" s="163" t="s">
        <v>449</v>
      </c>
      <c r="T20" s="163" t="s">
        <v>64</v>
      </c>
      <c r="U20" s="164" t="s">
        <v>63</v>
      </c>
      <c r="V20" s="154"/>
      <c r="W20" s="154"/>
      <c r="X20" s="154"/>
      <c r="Y20" s="154"/>
      <c r="Z20" s="154"/>
      <c r="AA20" s="154"/>
      <c r="AB20" s="154"/>
    </row>
    <row r="21" spans="1:28" ht="19.5" customHeight="1">
      <c r="B21" s="268"/>
      <c r="C21" s="269"/>
      <c r="D21" s="269"/>
      <c r="E21" s="269"/>
      <c r="F21" s="154"/>
      <c r="G21" s="154"/>
      <c r="H21" s="154"/>
      <c r="I21" s="154"/>
      <c r="J21" s="154"/>
      <c r="K21" s="159">
        <v>15</v>
      </c>
      <c r="L21" s="159" t="str">
        <f t="shared" si="0"/>
        <v>50215 SVEUČILIŠTE J.J.STROSSMAYERA U OSIJEKU - AKADEMIJA ZA UMJETNOST I KULTURU U OSIJEKU</v>
      </c>
      <c r="M21" s="160">
        <v>50215</v>
      </c>
      <c r="N21" s="161" t="s">
        <v>450</v>
      </c>
      <c r="O21" s="161" t="s">
        <v>404</v>
      </c>
      <c r="P21" s="161" t="s">
        <v>451</v>
      </c>
      <c r="Q21" s="161" t="s">
        <v>406</v>
      </c>
      <c r="R21" s="162">
        <v>4907361</v>
      </c>
      <c r="S21" s="163">
        <v>60277424315</v>
      </c>
      <c r="T21" s="163" t="s">
        <v>64</v>
      </c>
      <c r="U21" s="164" t="s">
        <v>63</v>
      </c>
      <c r="V21" s="154"/>
      <c r="W21" s="154"/>
      <c r="X21" s="154"/>
      <c r="Y21" s="154"/>
      <c r="Z21" s="154"/>
      <c r="AA21" s="154"/>
      <c r="AB21" s="154"/>
    </row>
    <row r="22" spans="1:28" ht="29.25" customHeight="1">
      <c r="A22" s="168"/>
      <c r="B22" s="168"/>
      <c r="C22" s="168" t="s">
        <v>836</v>
      </c>
      <c r="D22" s="168" t="s">
        <v>837</v>
      </c>
      <c r="E22" s="168" t="s">
        <v>838</v>
      </c>
      <c r="F22" s="154"/>
      <c r="G22" s="154"/>
      <c r="H22" s="176"/>
      <c r="I22" s="154"/>
      <c r="J22" s="154"/>
      <c r="K22" s="159">
        <v>1</v>
      </c>
      <c r="L22" s="159" t="str">
        <f t="shared" si="0"/>
        <v>42024 SVEUČILIŠTE JURJA DOBRILE U PULI</v>
      </c>
      <c r="M22" s="160">
        <v>42024</v>
      </c>
      <c r="N22" s="161" t="s">
        <v>452</v>
      </c>
      <c r="O22" s="161" t="s">
        <v>452</v>
      </c>
      <c r="P22" s="161" t="s">
        <v>453</v>
      </c>
      <c r="Q22" s="161" t="s">
        <v>454</v>
      </c>
      <c r="R22" s="162">
        <v>2161753</v>
      </c>
      <c r="S22" s="163" t="s">
        <v>455</v>
      </c>
      <c r="T22" s="163" t="s">
        <v>64</v>
      </c>
      <c r="U22" s="164" t="s">
        <v>63</v>
      </c>
      <c r="V22" s="154"/>
      <c r="W22" s="154"/>
      <c r="X22" s="154"/>
      <c r="Y22" s="154"/>
      <c r="Z22" s="154"/>
      <c r="AA22" s="154"/>
      <c r="AB22" s="154"/>
    </row>
    <row r="23" spans="1:28" ht="30">
      <c r="A23" s="181" t="s">
        <v>11</v>
      </c>
      <c r="B23" s="181" t="s">
        <v>12</v>
      </c>
      <c r="C23" s="179">
        <f>'PLAN PRIHODA I PRIMITAKA '!C5</f>
        <v>138750</v>
      </c>
      <c r="D23" s="179">
        <f>'PLAN PRIHODA I PRIMITAKA '!C45</f>
        <v>0</v>
      </c>
      <c r="E23" s="179">
        <f>'PLAN PRIHODA I PRIMITAKA '!C85</f>
        <v>0</v>
      </c>
      <c r="F23" s="154"/>
      <c r="G23" s="154"/>
      <c r="H23" s="182"/>
      <c r="I23" s="154"/>
      <c r="J23" s="154"/>
      <c r="K23" s="159">
        <v>2</v>
      </c>
      <c r="L23" s="159" t="str">
        <f t="shared" si="0"/>
        <v>48267 SVEUČILIŠTE SJEVER</v>
      </c>
      <c r="M23" s="160">
        <v>48267</v>
      </c>
      <c r="N23" s="161" t="s">
        <v>456</v>
      </c>
      <c r="O23" s="161" t="s">
        <v>456</v>
      </c>
      <c r="P23" s="161" t="s">
        <v>457</v>
      </c>
      <c r="Q23" s="161" t="s">
        <v>458</v>
      </c>
      <c r="R23" s="162">
        <v>2752298</v>
      </c>
      <c r="S23" s="163" t="s">
        <v>459</v>
      </c>
      <c r="T23" s="163" t="s">
        <v>64</v>
      </c>
      <c r="U23" s="164" t="s">
        <v>63</v>
      </c>
      <c r="V23" s="154"/>
      <c r="W23" s="154"/>
      <c r="X23" s="154"/>
      <c r="Y23" s="154"/>
      <c r="Z23" s="154"/>
      <c r="AA23" s="154"/>
      <c r="AB23" s="154"/>
    </row>
    <row r="24" spans="1:28" ht="30">
      <c r="A24" s="181" t="s">
        <v>13</v>
      </c>
      <c r="B24" s="181" t="s">
        <v>14</v>
      </c>
      <c r="C24" s="183">
        <f>'PLAN PRIHODA I PRIMITAKA '!C7</f>
        <v>0</v>
      </c>
      <c r="D24" s="183">
        <f>'PLAN PRIHODA I PRIMITAKA '!C47</f>
        <v>0</v>
      </c>
      <c r="E24" s="184">
        <f>'PLAN PRIHODA I PRIMITAKA '!C87</f>
        <v>0</v>
      </c>
      <c r="F24" s="154"/>
      <c r="G24" s="154"/>
      <c r="H24" s="182"/>
      <c r="I24" s="154"/>
      <c r="J24" s="154"/>
      <c r="K24" s="159">
        <v>3</v>
      </c>
      <c r="L24" s="159" t="str">
        <f t="shared" si="0"/>
        <v>24141 SVEUČILIŠTE U DUBROVNIKU</v>
      </c>
      <c r="M24" s="160">
        <v>24141</v>
      </c>
      <c r="N24" s="161" t="s">
        <v>460</v>
      </c>
      <c r="O24" s="161" t="s">
        <v>460</v>
      </c>
      <c r="P24" s="161" t="s">
        <v>461</v>
      </c>
      <c r="Q24" s="161" t="s">
        <v>462</v>
      </c>
      <c r="R24" s="162">
        <v>1787578</v>
      </c>
      <c r="S24" s="163" t="s">
        <v>463</v>
      </c>
      <c r="T24" s="163" t="s">
        <v>64</v>
      </c>
      <c r="U24" s="164" t="s">
        <v>63</v>
      </c>
      <c r="V24" s="154"/>
      <c r="W24" s="154"/>
      <c r="X24" s="154"/>
      <c r="Y24" s="154"/>
      <c r="Z24" s="154"/>
      <c r="AA24" s="154"/>
      <c r="AB24" s="154"/>
    </row>
    <row r="25" spans="1:28" ht="19.5" customHeight="1">
      <c r="B25" s="268"/>
      <c r="C25" s="269"/>
      <c r="D25" s="269"/>
      <c r="E25" s="269"/>
      <c r="F25" s="154"/>
      <c r="G25" s="154"/>
      <c r="H25" s="154"/>
      <c r="I25" s="154"/>
      <c r="J25" s="154"/>
      <c r="K25" s="159">
        <v>4</v>
      </c>
      <c r="L25" s="159" t="str">
        <f t="shared" si="0"/>
        <v>23815 SVEUČILIŠTE U ZADRU</v>
      </c>
      <c r="M25" s="160">
        <v>23815</v>
      </c>
      <c r="N25" s="161" t="s">
        <v>464</v>
      </c>
      <c r="O25" s="161" t="s">
        <v>464</v>
      </c>
      <c r="P25" s="161" t="s">
        <v>465</v>
      </c>
      <c r="Q25" s="161" t="s">
        <v>466</v>
      </c>
      <c r="R25" s="162">
        <v>1695525</v>
      </c>
      <c r="S25" s="163" t="s">
        <v>467</v>
      </c>
      <c r="T25" s="163" t="s">
        <v>64</v>
      </c>
      <c r="U25" s="164" t="s">
        <v>63</v>
      </c>
      <c r="V25" s="154"/>
      <c r="W25" s="154"/>
      <c r="X25" s="154"/>
      <c r="Y25" s="154"/>
      <c r="Z25" s="154"/>
      <c r="AA25" s="154"/>
      <c r="AB25" s="154"/>
    </row>
    <row r="26" spans="1:28" ht="30.75" customHeight="1">
      <c r="A26" s="168"/>
      <c r="B26" s="168"/>
      <c r="C26" s="168" t="s">
        <v>836</v>
      </c>
      <c r="D26" s="168" t="s">
        <v>837</v>
      </c>
      <c r="E26" s="168" t="s">
        <v>838</v>
      </c>
      <c r="F26" s="154"/>
      <c r="G26" s="154"/>
      <c r="H26" s="185"/>
      <c r="I26" s="154"/>
      <c r="J26" s="154"/>
      <c r="K26" s="159">
        <v>1</v>
      </c>
      <c r="L26" s="159" t="str">
        <f t="shared" si="0"/>
        <v>2444 SVEUČILIŠTE U RIJECI</v>
      </c>
      <c r="M26" s="160">
        <v>2444</v>
      </c>
      <c r="N26" s="161" t="s">
        <v>468</v>
      </c>
      <c r="O26" s="161" t="s">
        <v>468</v>
      </c>
      <c r="P26" s="161" t="s">
        <v>469</v>
      </c>
      <c r="Q26" s="161" t="s">
        <v>470</v>
      </c>
      <c r="R26" s="162">
        <v>3337413</v>
      </c>
      <c r="S26" s="163" t="s">
        <v>471</v>
      </c>
      <c r="T26" s="163" t="s">
        <v>64</v>
      </c>
      <c r="U26" s="164" t="s">
        <v>63</v>
      </c>
      <c r="V26" s="154"/>
      <c r="W26" s="154"/>
      <c r="X26" s="154"/>
      <c r="Y26" s="154"/>
      <c r="Z26" s="154"/>
      <c r="AA26" s="154"/>
      <c r="AB26" s="154"/>
    </row>
    <row r="27" spans="1:28" ht="30">
      <c r="A27" s="173">
        <v>8</v>
      </c>
      <c r="B27" s="170" t="s">
        <v>15</v>
      </c>
      <c r="C27" s="174">
        <f>'PLAN PRIHODA I PRIMITAKA '!C40</f>
        <v>0</v>
      </c>
      <c r="D27" s="174">
        <f>'PLAN PRIHODA I PRIMITAKA '!C80</f>
        <v>0</v>
      </c>
      <c r="E27" s="174">
        <f>'PLAN PRIHODA I PRIMITAKA '!C120</f>
        <v>0</v>
      </c>
      <c r="F27" s="154"/>
      <c r="G27" s="154"/>
      <c r="H27" s="154"/>
      <c r="I27" s="154"/>
      <c r="J27" s="154"/>
      <c r="K27" s="159">
        <v>2</v>
      </c>
      <c r="L27" s="159" t="str">
        <f t="shared" si="0"/>
        <v>38454 SVEUČILIŠTE U RIJECI - AKADEMIJA PRIMJENJENIH UMJETNOSTI</v>
      </c>
      <c r="M27" s="160">
        <v>38454</v>
      </c>
      <c r="N27" s="161" t="s">
        <v>472</v>
      </c>
      <c r="O27" s="161" t="s">
        <v>468</v>
      </c>
      <c r="P27" s="161" t="s">
        <v>473</v>
      </c>
      <c r="Q27" s="161" t="s">
        <v>470</v>
      </c>
      <c r="R27" s="162">
        <v>1954253</v>
      </c>
      <c r="S27" s="163" t="s">
        <v>474</v>
      </c>
      <c r="T27" s="163" t="s">
        <v>64</v>
      </c>
      <c r="U27" s="164" t="s">
        <v>63</v>
      </c>
      <c r="V27" s="154"/>
      <c r="W27" s="154"/>
      <c r="X27" s="154"/>
      <c r="Y27" s="154"/>
      <c r="Z27" s="154"/>
      <c r="AA27" s="154"/>
      <c r="AB27" s="154"/>
    </row>
    <row r="28" spans="1:28" ht="30">
      <c r="A28" s="173">
        <v>5</v>
      </c>
      <c r="B28" s="170" t="s">
        <v>16</v>
      </c>
      <c r="C28" s="174">
        <f>'PLAN RASHODA I IZDATAKA'!C58</f>
        <v>0</v>
      </c>
      <c r="D28" s="174">
        <f>'PLAN RASHODA I IZDATAKA'!C86</f>
        <v>0</v>
      </c>
      <c r="E28" s="174">
        <f>'PLAN RASHODA I IZDATAKA'!C106</f>
        <v>0</v>
      </c>
      <c r="F28" s="186"/>
      <c r="G28" s="154"/>
      <c r="H28" s="154"/>
      <c r="I28" s="154"/>
      <c r="J28" s="154"/>
      <c r="K28" s="159">
        <v>3</v>
      </c>
      <c r="L28" s="159" t="str">
        <f t="shared" si="0"/>
        <v>2186 SVEUČILIŠTE U RIJECI - EKONOMSKI FAKULTET</v>
      </c>
      <c r="M28" s="160">
        <v>2186</v>
      </c>
      <c r="N28" s="161" t="s">
        <v>475</v>
      </c>
      <c r="O28" s="161" t="s">
        <v>468</v>
      </c>
      <c r="P28" s="161" t="s">
        <v>476</v>
      </c>
      <c r="Q28" s="161" t="s">
        <v>470</v>
      </c>
      <c r="R28" s="162">
        <v>3328627</v>
      </c>
      <c r="S28" s="163" t="s">
        <v>477</v>
      </c>
      <c r="T28" s="163" t="s">
        <v>64</v>
      </c>
      <c r="U28" s="164" t="s">
        <v>63</v>
      </c>
      <c r="V28" s="154"/>
      <c r="W28" s="154"/>
      <c r="X28" s="154"/>
      <c r="Y28" s="154"/>
      <c r="Z28" s="154"/>
      <c r="AA28" s="154"/>
      <c r="AB28" s="154"/>
    </row>
    <row r="29" spans="1:28" ht="19.5" customHeight="1">
      <c r="A29" s="170"/>
      <c r="B29" s="170" t="s">
        <v>17</v>
      </c>
      <c r="C29" s="178">
        <f>+C27-C28</f>
        <v>0</v>
      </c>
      <c r="D29" s="178">
        <f>+D27-D28</f>
        <v>0</v>
      </c>
      <c r="E29" s="178">
        <f>+E27-E28</f>
        <v>0</v>
      </c>
      <c r="F29" s="154"/>
      <c r="G29" s="154"/>
      <c r="H29" s="154"/>
      <c r="I29" s="154"/>
      <c r="J29" s="154"/>
      <c r="K29" s="159">
        <v>4</v>
      </c>
      <c r="L29" s="159" t="str">
        <f t="shared" si="0"/>
        <v>2194 SVEUČILIŠTE U RIJECI - FAKULTET ZA MENADŽMENT U TURIZMU I UGOSTITELJSTVU</v>
      </c>
      <c r="M29" s="160">
        <v>2194</v>
      </c>
      <c r="N29" s="161" t="s">
        <v>478</v>
      </c>
      <c r="O29" s="161" t="s">
        <v>468</v>
      </c>
      <c r="P29" s="161" t="s">
        <v>479</v>
      </c>
      <c r="Q29" s="161" t="s">
        <v>480</v>
      </c>
      <c r="R29" s="162">
        <v>3091732</v>
      </c>
      <c r="S29" s="163" t="s">
        <v>481</v>
      </c>
      <c r="T29" s="163" t="s">
        <v>64</v>
      </c>
      <c r="U29" s="164" t="s">
        <v>63</v>
      </c>
      <c r="V29" s="154"/>
      <c r="W29" s="154"/>
      <c r="X29" s="154"/>
      <c r="Y29" s="154"/>
      <c r="Z29" s="154"/>
      <c r="AA29" s="154"/>
      <c r="AB29" s="154"/>
    </row>
    <row r="30" spans="1:28" ht="19.5" customHeight="1">
      <c r="B30" s="268"/>
      <c r="C30" s="269"/>
      <c r="D30" s="269"/>
      <c r="E30" s="269"/>
      <c r="F30" s="154"/>
      <c r="G30" s="154"/>
      <c r="H30" s="154"/>
      <c r="I30" s="154"/>
      <c r="J30" s="154"/>
      <c r="K30" s="159">
        <v>5</v>
      </c>
      <c r="L30" s="159" t="str">
        <f t="shared" si="0"/>
        <v>22857 SVEUČILIŠTE U RIJECI - FILOZOFSKI FAKULTET</v>
      </c>
      <c r="M30" s="160">
        <v>22857</v>
      </c>
      <c r="N30" s="161" t="s">
        <v>482</v>
      </c>
      <c r="O30" s="161" t="s">
        <v>468</v>
      </c>
      <c r="P30" s="161" t="s">
        <v>483</v>
      </c>
      <c r="Q30" s="161" t="s">
        <v>470</v>
      </c>
      <c r="R30" s="162">
        <v>3368491</v>
      </c>
      <c r="S30" s="163" t="s">
        <v>484</v>
      </c>
      <c r="T30" s="163" t="s">
        <v>64</v>
      </c>
      <c r="U30" s="164" t="s">
        <v>63</v>
      </c>
      <c r="V30" s="154"/>
      <c r="W30" s="154"/>
      <c r="X30" s="154"/>
      <c r="Y30" s="154"/>
      <c r="Z30" s="154"/>
      <c r="AA30" s="154"/>
      <c r="AB30" s="154"/>
    </row>
    <row r="31" spans="1:28" ht="30">
      <c r="A31" s="187"/>
      <c r="B31" s="187" t="s">
        <v>18</v>
      </c>
      <c r="C31" s="188">
        <f>+C20+C23+C24+C29</f>
        <v>0</v>
      </c>
      <c r="D31" s="188">
        <f>+D20+D23+D24+D29</f>
        <v>0</v>
      </c>
      <c r="E31" s="188">
        <f>+E20+E23+E24+E29</f>
        <v>0</v>
      </c>
      <c r="F31" s="154"/>
      <c r="G31" s="189"/>
      <c r="H31" s="154"/>
      <c r="I31" s="154"/>
      <c r="J31" s="154"/>
      <c r="K31" s="159">
        <v>6</v>
      </c>
      <c r="L31" s="159" t="str">
        <f t="shared" si="0"/>
        <v>2160 SVEUČILIŠTE U RIJECI - GRAĐEVINSKI FAKULTET U RIJECI</v>
      </c>
      <c r="M31" s="160">
        <v>2160</v>
      </c>
      <c r="N31" s="161" t="s">
        <v>485</v>
      </c>
      <c r="O31" s="161" t="s">
        <v>468</v>
      </c>
      <c r="P31" s="161" t="s">
        <v>486</v>
      </c>
      <c r="Q31" s="161" t="s">
        <v>470</v>
      </c>
      <c r="R31" s="162">
        <v>3395855</v>
      </c>
      <c r="S31" s="163" t="s">
        <v>487</v>
      </c>
      <c r="T31" s="163" t="s">
        <v>64</v>
      </c>
      <c r="U31" s="164" t="s">
        <v>63</v>
      </c>
      <c r="V31" s="154"/>
      <c r="W31" s="154"/>
      <c r="X31" s="154"/>
      <c r="Y31" s="154"/>
      <c r="Z31" s="154"/>
      <c r="AA31" s="154"/>
      <c r="AB31" s="154"/>
    </row>
    <row r="32" spans="1:28" ht="18.75" customHeight="1">
      <c r="A32" s="167"/>
      <c r="B32" s="167"/>
      <c r="C32" s="154"/>
      <c r="D32" s="154"/>
      <c r="E32" s="154"/>
      <c r="F32" s="154"/>
      <c r="G32" s="154"/>
      <c r="H32" s="154"/>
      <c r="I32" s="154"/>
      <c r="J32" s="154"/>
      <c r="K32" s="159">
        <v>7</v>
      </c>
      <c r="L32" s="159" t="str">
        <f t="shared" si="0"/>
        <v>2225 SVEUČILIŠTE U RIJECI - MEDICINSKI FAKULTET</v>
      </c>
      <c r="M32" s="160">
        <v>2225</v>
      </c>
      <c r="N32" s="161" t="s">
        <v>488</v>
      </c>
      <c r="O32" s="161" t="s">
        <v>468</v>
      </c>
      <c r="P32" s="161" t="s">
        <v>489</v>
      </c>
      <c r="Q32" s="161" t="s">
        <v>470</v>
      </c>
      <c r="R32" s="162">
        <v>3328554</v>
      </c>
      <c r="S32" s="163" t="s">
        <v>490</v>
      </c>
      <c r="T32" s="163" t="s">
        <v>64</v>
      </c>
      <c r="U32" s="164" t="s">
        <v>63</v>
      </c>
      <c r="V32" s="154"/>
      <c r="W32" s="154"/>
      <c r="X32" s="154"/>
      <c r="Y32" s="154"/>
      <c r="Z32" s="154"/>
      <c r="AA32" s="154"/>
      <c r="AB32" s="154"/>
    </row>
    <row r="33" spans="1:28" ht="15">
      <c r="A33" s="190"/>
      <c r="B33" s="190"/>
      <c r="C33" s="190"/>
      <c r="D33" s="190"/>
      <c r="E33" s="190"/>
      <c r="F33" s="190"/>
      <c r="G33" s="191"/>
      <c r="H33" s="191"/>
      <c r="I33" s="191"/>
      <c r="J33" s="191"/>
      <c r="K33" s="159">
        <v>8</v>
      </c>
      <c r="L33" s="159" t="str">
        <f t="shared" si="0"/>
        <v>22568 SVEUČILIŠTE U RIJECI - POMORSKI FAKULTET</v>
      </c>
      <c r="M33" s="160">
        <v>22568</v>
      </c>
      <c r="N33" s="161" t="s">
        <v>491</v>
      </c>
      <c r="O33" s="161" t="s">
        <v>468</v>
      </c>
      <c r="P33" s="161" t="s">
        <v>492</v>
      </c>
      <c r="Q33" s="161" t="s">
        <v>470</v>
      </c>
      <c r="R33" s="162">
        <v>1580485</v>
      </c>
      <c r="S33" s="163" t="s">
        <v>493</v>
      </c>
      <c r="T33" s="163" t="s">
        <v>64</v>
      </c>
      <c r="U33" s="164" t="s">
        <v>63</v>
      </c>
      <c r="V33" s="191"/>
      <c r="W33" s="191"/>
      <c r="X33" s="191"/>
      <c r="Y33" s="191"/>
      <c r="Z33" s="191"/>
      <c r="AA33" s="191"/>
      <c r="AB33" s="191"/>
    </row>
    <row r="34" spans="1:28" ht="15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9">
        <v>9</v>
      </c>
      <c r="L34" s="159" t="str">
        <f t="shared" si="0"/>
        <v>2217 SVEUČILIŠTE U RIJECI - PRAVNI FAKULTET</v>
      </c>
      <c r="M34" s="160">
        <v>2217</v>
      </c>
      <c r="N34" s="161" t="s">
        <v>494</v>
      </c>
      <c r="O34" s="161" t="s">
        <v>468</v>
      </c>
      <c r="P34" s="161" t="s">
        <v>495</v>
      </c>
      <c r="Q34" s="161" t="s">
        <v>470</v>
      </c>
      <c r="R34" s="162">
        <v>3328562</v>
      </c>
      <c r="S34" s="163" t="s">
        <v>496</v>
      </c>
      <c r="T34" s="163" t="s">
        <v>64</v>
      </c>
      <c r="U34" s="164" t="s">
        <v>63</v>
      </c>
      <c r="V34" s="154"/>
      <c r="W34" s="154"/>
      <c r="X34" s="154"/>
      <c r="Y34" s="154"/>
      <c r="Z34" s="154"/>
      <c r="AA34" s="154"/>
      <c r="AB34" s="154"/>
    </row>
    <row r="35" spans="1:28" ht="15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9">
        <v>10</v>
      </c>
      <c r="L35" s="159" t="str">
        <f t="shared" si="0"/>
        <v>2493 SVEUČILIŠTE U RIJECI - SVEUČILIŠNA KNJIŽNICA</v>
      </c>
      <c r="M35" s="160">
        <v>2493</v>
      </c>
      <c r="N35" s="161" t="s">
        <v>497</v>
      </c>
      <c r="O35" s="161" t="s">
        <v>468</v>
      </c>
      <c r="P35" s="161" t="s">
        <v>498</v>
      </c>
      <c r="Q35" s="161" t="s">
        <v>470</v>
      </c>
      <c r="R35" s="162">
        <v>3328686</v>
      </c>
      <c r="S35" s="163" t="s">
        <v>499</v>
      </c>
      <c r="T35" s="163" t="s">
        <v>64</v>
      </c>
      <c r="U35" s="164" t="s">
        <v>63</v>
      </c>
      <c r="V35" s="154"/>
      <c r="W35" s="154"/>
      <c r="X35" s="154"/>
      <c r="Y35" s="154"/>
      <c r="Z35" s="154"/>
      <c r="AA35" s="154"/>
      <c r="AB35" s="154"/>
    </row>
    <row r="36" spans="1:28" ht="15" hidden="1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9">
        <v>11</v>
      </c>
      <c r="L36" s="159" t="str">
        <f t="shared" si="0"/>
        <v>2151 SVEUČILIŠTE U RIJECI - TEHNIČKI FAKULTET</v>
      </c>
      <c r="M36" s="160">
        <v>2151</v>
      </c>
      <c r="N36" s="161" t="s">
        <v>500</v>
      </c>
      <c r="O36" s="161" t="s">
        <v>468</v>
      </c>
      <c r="P36" s="161" t="s">
        <v>501</v>
      </c>
      <c r="Q36" s="161" t="s">
        <v>470</v>
      </c>
      <c r="R36" s="162">
        <v>3334317</v>
      </c>
      <c r="S36" s="163" t="s">
        <v>502</v>
      </c>
      <c r="T36" s="163" t="s">
        <v>64</v>
      </c>
      <c r="U36" s="164" t="s">
        <v>63</v>
      </c>
      <c r="V36" s="154"/>
      <c r="W36" s="154"/>
      <c r="X36" s="154"/>
      <c r="Y36" s="154"/>
      <c r="Z36" s="154"/>
      <c r="AA36" s="154"/>
      <c r="AB36" s="154"/>
    </row>
    <row r="37" spans="1:28" ht="15" hidden="1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9">
        <v>12</v>
      </c>
      <c r="L37" s="159" t="str">
        <f t="shared" si="0"/>
        <v>40947 SVEUČILIŠTE U RIJECI - UČITELJSKI FAKULTET</v>
      </c>
      <c r="M37" s="160">
        <v>40947</v>
      </c>
      <c r="N37" s="161" t="s">
        <v>503</v>
      </c>
      <c r="O37" s="161" t="s">
        <v>468</v>
      </c>
      <c r="P37" s="161" t="s">
        <v>504</v>
      </c>
      <c r="Q37" s="161" t="s">
        <v>470</v>
      </c>
      <c r="R37" s="162">
        <v>2116073</v>
      </c>
      <c r="S37" s="163" t="s">
        <v>505</v>
      </c>
      <c r="T37" s="163" t="s">
        <v>64</v>
      </c>
      <c r="U37" s="164" t="s">
        <v>63</v>
      </c>
      <c r="V37" s="154"/>
      <c r="W37" s="154"/>
      <c r="X37" s="154"/>
      <c r="Y37" s="154"/>
      <c r="Z37" s="154"/>
      <c r="AA37" s="154"/>
      <c r="AB37" s="154"/>
    </row>
    <row r="38" spans="1:28" ht="15" hidden="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9">
        <v>13</v>
      </c>
      <c r="L38" s="159" t="str">
        <f t="shared" si="0"/>
        <v>48023 SVEUČILIŠTE U RIJECI - FAKULTET ZDRAVSTVENIH STUDIJA U RIJECI</v>
      </c>
      <c r="M38" s="160">
        <v>48023</v>
      </c>
      <c r="N38" s="161" t="s">
        <v>506</v>
      </c>
      <c r="O38" s="161" t="s">
        <v>468</v>
      </c>
      <c r="P38" s="161" t="s">
        <v>507</v>
      </c>
      <c r="Q38" s="161" t="s">
        <v>470</v>
      </c>
      <c r="R38" s="192" t="s">
        <v>508</v>
      </c>
      <c r="S38" s="163" t="s">
        <v>509</v>
      </c>
      <c r="T38" s="163" t="s">
        <v>64</v>
      </c>
      <c r="U38" s="164" t="s">
        <v>63</v>
      </c>
      <c r="V38" s="154"/>
      <c r="W38" s="154"/>
      <c r="X38" s="154"/>
      <c r="Y38" s="154"/>
      <c r="Z38" s="154"/>
      <c r="AA38" s="154"/>
      <c r="AB38" s="154"/>
    </row>
    <row r="39" spans="1:28" ht="15" hidden="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9">
        <v>1</v>
      </c>
      <c r="L39" s="159" t="str">
        <f t="shared" si="0"/>
        <v>2469 SVEUČILIŠTE U SPLITU</v>
      </c>
      <c r="M39" s="160">
        <v>2469</v>
      </c>
      <c r="N39" s="161" t="s">
        <v>510</v>
      </c>
      <c r="O39" s="161" t="s">
        <v>510</v>
      </c>
      <c r="P39" s="161" t="s">
        <v>511</v>
      </c>
      <c r="Q39" s="161" t="s">
        <v>512</v>
      </c>
      <c r="R39" s="162">
        <v>3129306</v>
      </c>
      <c r="S39" s="163" t="s">
        <v>513</v>
      </c>
      <c r="T39" s="163" t="s">
        <v>64</v>
      </c>
      <c r="U39" s="164" t="s">
        <v>63</v>
      </c>
      <c r="V39" s="154"/>
      <c r="W39" s="154"/>
      <c r="X39" s="154"/>
      <c r="Y39" s="154"/>
      <c r="Z39" s="154"/>
      <c r="AA39" s="154"/>
      <c r="AB39" s="154"/>
    </row>
    <row r="40" spans="1:28" ht="15" hidden="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9">
        <v>2</v>
      </c>
      <c r="L40" s="159" t="str">
        <f t="shared" si="0"/>
        <v>2372 SVEUČILIŠTE U SPLITU - EKONOMSKI FAKULTET</v>
      </c>
      <c r="M40" s="160">
        <v>2372</v>
      </c>
      <c r="N40" s="161" t="s">
        <v>514</v>
      </c>
      <c r="O40" s="161" t="s">
        <v>510</v>
      </c>
      <c r="P40" s="161" t="s">
        <v>515</v>
      </c>
      <c r="Q40" s="161" t="s">
        <v>512</v>
      </c>
      <c r="R40" s="162">
        <v>3119076</v>
      </c>
      <c r="S40" s="163" t="s">
        <v>516</v>
      </c>
      <c r="T40" s="163" t="s">
        <v>64</v>
      </c>
      <c r="U40" s="164" t="s">
        <v>63</v>
      </c>
      <c r="V40" s="154"/>
      <c r="W40" s="154"/>
      <c r="X40" s="154"/>
      <c r="Y40" s="154"/>
      <c r="Z40" s="154"/>
      <c r="AA40" s="154"/>
      <c r="AB40" s="154"/>
    </row>
    <row r="41" spans="1:28" ht="15" hidden="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9">
        <v>3</v>
      </c>
      <c r="L41" s="159" t="str">
        <f t="shared" si="0"/>
        <v>2330 SVEUČILIŠTE U SPLITU - FAKULTET ELEKTROTEHNIKE, STROJARSTVA I BRODOGRADNJE</v>
      </c>
      <c r="M41" s="160">
        <v>2330</v>
      </c>
      <c r="N41" s="161" t="s">
        <v>517</v>
      </c>
      <c r="O41" s="161" t="s">
        <v>510</v>
      </c>
      <c r="P41" s="161" t="s">
        <v>518</v>
      </c>
      <c r="Q41" s="161" t="s">
        <v>512</v>
      </c>
      <c r="R41" s="162">
        <v>3118339</v>
      </c>
      <c r="S41" s="163" t="s">
        <v>519</v>
      </c>
      <c r="T41" s="163" t="s">
        <v>64</v>
      </c>
      <c r="U41" s="164" t="s">
        <v>63</v>
      </c>
      <c r="V41" s="154"/>
      <c r="W41" s="154"/>
      <c r="X41" s="154"/>
      <c r="Y41" s="154"/>
      <c r="Z41" s="154"/>
      <c r="AA41" s="154"/>
      <c r="AB41" s="154"/>
    </row>
    <row r="42" spans="1:28" ht="15" hidden="1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9">
        <v>4</v>
      </c>
      <c r="L42" s="159" t="str">
        <f t="shared" si="0"/>
        <v>22435 SVEUČILIŠTE U SPLITU - FILOZOFSKI FAKULTET</v>
      </c>
      <c r="M42" s="160">
        <v>22435</v>
      </c>
      <c r="N42" s="161" t="s">
        <v>520</v>
      </c>
      <c r="O42" s="161" t="s">
        <v>510</v>
      </c>
      <c r="P42" s="161" t="s">
        <v>521</v>
      </c>
      <c r="Q42" s="161" t="s">
        <v>512</v>
      </c>
      <c r="R42" s="162">
        <v>1413236</v>
      </c>
      <c r="S42" s="163" t="s">
        <v>522</v>
      </c>
      <c r="T42" s="163" t="s">
        <v>64</v>
      </c>
      <c r="U42" s="164" t="s">
        <v>63</v>
      </c>
      <c r="V42" s="154"/>
      <c r="W42" s="154"/>
      <c r="X42" s="154"/>
      <c r="Y42" s="154"/>
      <c r="Z42" s="154"/>
      <c r="AA42" s="154"/>
      <c r="AB42" s="154"/>
    </row>
    <row r="43" spans="1:28" ht="15" hidden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9">
        <v>5</v>
      </c>
      <c r="L43" s="159" t="str">
        <f t="shared" si="0"/>
        <v>2348 SVEUČILIŠTE U SPLITU - FAKULTET GRAĐEVINARSTVA, ARHITEKTURE I GEODEZIJE</v>
      </c>
      <c r="M43" s="160">
        <v>2348</v>
      </c>
      <c r="N43" s="161" t="s">
        <v>523</v>
      </c>
      <c r="O43" s="161" t="s">
        <v>510</v>
      </c>
      <c r="P43" s="161" t="s">
        <v>524</v>
      </c>
      <c r="Q43" s="161" t="s">
        <v>512</v>
      </c>
      <c r="R43" s="162">
        <v>3149463</v>
      </c>
      <c r="S43" s="163" t="s">
        <v>525</v>
      </c>
      <c r="T43" s="163" t="s">
        <v>64</v>
      </c>
      <c r="U43" s="164" t="s">
        <v>63</v>
      </c>
      <c r="V43" s="154"/>
      <c r="W43" s="154"/>
      <c r="X43" s="154"/>
      <c r="Y43" s="154"/>
      <c r="Z43" s="154"/>
      <c r="AA43" s="154"/>
      <c r="AB43" s="154"/>
    </row>
    <row r="44" spans="1:28" ht="15" hidden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9">
        <v>6</v>
      </c>
      <c r="L44" s="159" t="str">
        <f t="shared" si="0"/>
        <v>2356 SVEUČILIŠTE U SPLITU - KEMIJSKO-TEHNOLOŠKI FAKULTET</v>
      </c>
      <c r="M44" s="160">
        <v>2356</v>
      </c>
      <c r="N44" s="161" t="s">
        <v>526</v>
      </c>
      <c r="O44" s="161" t="s">
        <v>510</v>
      </c>
      <c r="P44" s="161" t="s">
        <v>527</v>
      </c>
      <c r="Q44" s="161" t="s">
        <v>512</v>
      </c>
      <c r="R44" s="162">
        <v>3119068</v>
      </c>
      <c r="S44" s="163" t="s">
        <v>528</v>
      </c>
      <c r="T44" s="163" t="s">
        <v>64</v>
      </c>
      <c r="U44" s="164" t="s">
        <v>63</v>
      </c>
      <c r="V44" s="154"/>
      <c r="W44" s="154"/>
      <c r="X44" s="154"/>
      <c r="Y44" s="154"/>
      <c r="Z44" s="154"/>
      <c r="AA44" s="154"/>
      <c r="AB44" s="154"/>
    </row>
    <row r="45" spans="1:28" ht="15" hidden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9">
        <v>7</v>
      </c>
      <c r="L45" s="159" t="str">
        <f t="shared" si="0"/>
        <v>43773 SVEUČILIŠTE U SPLITU - KINEZIOLOŠKI FAKULTET</v>
      </c>
      <c r="M45" s="160">
        <v>43773</v>
      </c>
      <c r="N45" s="161" t="s">
        <v>529</v>
      </c>
      <c r="O45" s="161" t="s">
        <v>510</v>
      </c>
      <c r="P45" s="161" t="s">
        <v>530</v>
      </c>
      <c r="Q45" s="161" t="s">
        <v>512</v>
      </c>
      <c r="R45" s="162">
        <v>2393255</v>
      </c>
      <c r="S45" s="163" t="s">
        <v>531</v>
      </c>
      <c r="T45" s="163" t="s">
        <v>64</v>
      </c>
      <c r="U45" s="164" t="s">
        <v>63</v>
      </c>
      <c r="V45" s="154"/>
      <c r="W45" s="154"/>
      <c r="X45" s="154"/>
      <c r="Y45" s="154"/>
      <c r="Z45" s="154"/>
      <c r="AA45" s="154"/>
      <c r="AB45" s="154"/>
    </row>
    <row r="46" spans="1:28" ht="15" hidden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9">
        <v>8</v>
      </c>
      <c r="L46" s="159" t="str">
        <f t="shared" si="0"/>
        <v>23368 SVEUČILIŠTE U SPLITU - KATOLIČKI BOGOSLOVNI FAKULTET</v>
      </c>
      <c r="M46" s="193">
        <v>23368</v>
      </c>
      <c r="N46" s="161" t="s">
        <v>532</v>
      </c>
      <c r="O46" s="161" t="s">
        <v>510</v>
      </c>
      <c r="P46" s="161" t="s">
        <v>533</v>
      </c>
      <c r="Q46" s="161" t="s">
        <v>512</v>
      </c>
      <c r="R46" s="162">
        <v>1465643</v>
      </c>
      <c r="S46" s="163">
        <v>36149548625</v>
      </c>
      <c r="T46" s="163" t="s">
        <v>64</v>
      </c>
      <c r="U46" s="164" t="s">
        <v>63</v>
      </c>
      <c r="V46" s="154"/>
      <c r="W46" s="154"/>
      <c r="X46" s="154"/>
      <c r="Y46" s="154"/>
      <c r="Z46" s="154"/>
      <c r="AA46" s="154"/>
      <c r="AB46" s="154"/>
    </row>
    <row r="47" spans="1:28" ht="15" hidden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9">
        <v>9</v>
      </c>
      <c r="L47" s="159" t="str">
        <f t="shared" si="0"/>
        <v>22451 SVEUČILIŠTE U SPLITU - MEDICINSKI FAKULTET</v>
      </c>
      <c r="M47" s="160">
        <v>22451</v>
      </c>
      <c r="N47" s="161" t="s">
        <v>534</v>
      </c>
      <c r="O47" s="161" t="s">
        <v>510</v>
      </c>
      <c r="P47" s="161" t="s">
        <v>535</v>
      </c>
      <c r="Q47" s="161" t="s">
        <v>512</v>
      </c>
      <c r="R47" s="162">
        <v>1315366</v>
      </c>
      <c r="S47" s="163" t="s">
        <v>536</v>
      </c>
      <c r="T47" s="163" t="s">
        <v>64</v>
      </c>
      <c r="U47" s="164" t="s">
        <v>63</v>
      </c>
      <c r="V47" s="154"/>
      <c r="W47" s="154"/>
      <c r="X47" s="154"/>
      <c r="Y47" s="154"/>
      <c r="Z47" s="154"/>
      <c r="AA47" s="154"/>
      <c r="AB47" s="154"/>
    </row>
    <row r="48" spans="1:28" ht="15" hidden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9">
        <v>10</v>
      </c>
      <c r="L48" s="159" t="str">
        <f t="shared" si="0"/>
        <v>22460 SVEUČILIŠTE U SPLITU - POMORSKI FAKULTET</v>
      </c>
      <c r="M48" s="160">
        <v>22460</v>
      </c>
      <c r="N48" s="161" t="s">
        <v>537</v>
      </c>
      <c r="O48" s="161" t="s">
        <v>510</v>
      </c>
      <c r="P48" s="161" t="s">
        <v>538</v>
      </c>
      <c r="Q48" s="161" t="s">
        <v>512</v>
      </c>
      <c r="R48" s="162">
        <v>1406043</v>
      </c>
      <c r="S48" s="163" t="s">
        <v>539</v>
      </c>
      <c r="T48" s="163" t="s">
        <v>64</v>
      </c>
      <c r="U48" s="164" t="s">
        <v>63</v>
      </c>
      <c r="V48" s="154"/>
      <c r="W48" s="154"/>
      <c r="X48" s="154"/>
      <c r="Y48" s="154"/>
      <c r="Z48" s="154"/>
      <c r="AA48" s="154"/>
      <c r="AB48" s="154"/>
    </row>
    <row r="49" spans="1:28" ht="15" hidden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9">
        <v>11</v>
      </c>
      <c r="L49" s="159" t="str">
        <f t="shared" si="0"/>
        <v>2397 SVEUČILIŠTE U SPLITU - PRAVNI FAKULTET</v>
      </c>
      <c r="M49" s="160">
        <v>2397</v>
      </c>
      <c r="N49" s="161" t="s">
        <v>540</v>
      </c>
      <c r="O49" s="161" t="s">
        <v>510</v>
      </c>
      <c r="P49" s="161" t="s">
        <v>541</v>
      </c>
      <c r="Q49" s="161" t="s">
        <v>512</v>
      </c>
      <c r="R49" s="162">
        <v>3118347</v>
      </c>
      <c r="S49" s="163" t="s">
        <v>542</v>
      </c>
      <c r="T49" s="163" t="s">
        <v>64</v>
      </c>
      <c r="U49" s="164" t="s">
        <v>63</v>
      </c>
      <c r="V49" s="154"/>
      <c r="W49" s="154"/>
      <c r="X49" s="154"/>
      <c r="Y49" s="154"/>
      <c r="Z49" s="154"/>
      <c r="AA49" s="154"/>
      <c r="AB49" s="154"/>
    </row>
    <row r="50" spans="1:28" ht="15" hidden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9">
        <v>12</v>
      </c>
      <c r="L50" s="159" t="str">
        <f t="shared" si="0"/>
        <v>2410 SVEUČILIŠTE U SPLITU - PRIRODOSLOVNO - MATEMATIČKI FAKULTET</v>
      </c>
      <c r="M50" s="160">
        <v>2410</v>
      </c>
      <c r="N50" s="161" t="s">
        <v>543</v>
      </c>
      <c r="O50" s="161" t="s">
        <v>510</v>
      </c>
      <c r="P50" s="161" t="s">
        <v>544</v>
      </c>
      <c r="Q50" s="161" t="s">
        <v>512</v>
      </c>
      <c r="R50" s="162">
        <v>3199622</v>
      </c>
      <c r="S50" s="163" t="s">
        <v>545</v>
      </c>
      <c r="T50" s="163" t="s">
        <v>64</v>
      </c>
      <c r="U50" s="164" t="s">
        <v>63</v>
      </c>
      <c r="V50" s="154"/>
      <c r="W50" s="154"/>
      <c r="X50" s="154"/>
      <c r="Y50" s="154"/>
      <c r="Z50" s="154"/>
      <c r="AA50" s="154"/>
      <c r="AB50" s="154"/>
    </row>
    <row r="51" spans="1:28" ht="15" hidden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9">
        <v>13</v>
      </c>
      <c r="L51" s="159" t="str">
        <f t="shared" si="0"/>
        <v>2524 SVEUČILIŠTE U SPLITU - SVEUČILIŠNA KNJIŽNICA</v>
      </c>
      <c r="M51" s="160">
        <v>2524</v>
      </c>
      <c r="N51" s="161" t="s">
        <v>546</v>
      </c>
      <c r="O51" s="161" t="s">
        <v>510</v>
      </c>
      <c r="P51" s="161" t="s">
        <v>547</v>
      </c>
      <c r="Q51" s="161" t="s">
        <v>512</v>
      </c>
      <c r="R51" s="162">
        <v>3118436</v>
      </c>
      <c r="S51" s="163" t="s">
        <v>548</v>
      </c>
      <c r="T51" s="163" t="s">
        <v>64</v>
      </c>
      <c r="U51" s="164" t="s">
        <v>63</v>
      </c>
      <c r="V51" s="154"/>
      <c r="W51" s="154"/>
      <c r="X51" s="154"/>
      <c r="Y51" s="154"/>
      <c r="Z51" s="154"/>
      <c r="AA51" s="154"/>
      <c r="AB51" s="154"/>
    </row>
    <row r="52" spans="1:28" ht="15" hidden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9">
        <v>14</v>
      </c>
      <c r="L52" s="159" t="str">
        <f t="shared" si="0"/>
        <v>22478 SVEUČILIŠTE U SPLITU - UMJETNIČKA AKADEMIJA</v>
      </c>
      <c r="M52" s="160">
        <v>22478</v>
      </c>
      <c r="N52" s="161" t="s">
        <v>549</v>
      </c>
      <c r="O52" s="161" t="s">
        <v>510</v>
      </c>
      <c r="P52" s="161" t="s">
        <v>550</v>
      </c>
      <c r="Q52" s="161" t="s">
        <v>512</v>
      </c>
      <c r="R52" s="162">
        <v>1321358</v>
      </c>
      <c r="S52" s="163" t="s">
        <v>551</v>
      </c>
      <c r="T52" s="163" t="s">
        <v>64</v>
      </c>
      <c r="U52" s="164" t="s">
        <v>63</v>
      </c>
      <c r="V52" s="154"/>
      <c r="W52" s="154"/>
      <c r="X52" s="154"/>
      <c r="Y52" s="154"/>
      <c r="Z52" s="154"/>
      <c r="AA52" s="154"/>
      <c r="AB52" s="154"/>
    </row>
    <row r="53" spans="1:28" ht="15" hidden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9">
        <v>1</v>
      </c>
      <c r="L53" s="159" t="str">
        <f t="shared" si="0"/>
        <v>2436 SVEUČILIŠTE U ZAGREBU</v>
      </c>
      <c r="M53" s="160">
        <v>2436</v>
      </c>
      <c r="N53" s="161" t="s">
        <v>552</v>
      </c>
      <c r="O53" s="161" t="s">
        <v>510</v>
      </c>
      <c r="P53" s="161" t="s">
        <v>553</v>
      </c>
      <c r="Q53" s="161" t="s">
        <v>403</v>
      </c>
      <c r="R53" s="162">
        <v>3211592</v>
      </c>
      <c r="S53" s="163" t="s">
        <v>554</v>
      </c>
      <c r="T53" s="163" t="s">
        <v>64</v>
      </c>
      <c r="U53" s="164" t="s">
        <v>63</v>
      </c>
      <c r="V53" s="154"/>
      <c r="W53" s="154"/>
      <c r="X53" s="154"/>
      <c r="Y53" s="154"/>
      <c r="Z53" s="154"/>
      <c r="AA53" s="154"/>
      <c r="AB53" s="154"/>
    </row>
    <row r="54" spans="1:28" ht="15" hidden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9">
        <v>2</v>
      </c>
      <c r="L54" s="159" t="str">
        <f t="shared" si="0"/>
        <v>1923 SVEUČILIŠTE U ZAGREBU - AGRONOMSKI FAKULTET</v>
      </c>
      <c r="M54" s="160">
        <v>1923</v>
      </c>
      <c r="N54" s="161" t="s">
        <v>555</v>
      </c>
      <c r="O54" s="161" t="s">
        <v>510</v>
      </c>
      <c r="P54" s="161" t="s">
        <v>556</v>
      </c>
      <c r="Q54" s="161" t="s">
        <v>403</v>
      </c>
      <c r="R54" s="162">
        <v>3283097</v>
      </c>
      <c r="S54" s="163" t="s">
        <v>557</v>
      </c>
      <c r="T54" s="163" t="s">
        <v>64</v>
      </c>
      <c r="U54" s="164" t="s">
        <v>63</v>
      </c>
      <c r="V54" s="154"/>
      <c r="W54" s="154"/>
      <c r="X54" s="154"/>
      <c r="Y54" s="154"/>
      <c r="Z54" s="154"/>
      <c r="AA54" s="154"/>
      <c r="AB54" s="154"/>
    </row>
    <row r="55" spans="1:28" ht="15" hidden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9">
        <v>3</v>
      </c>
      <c r="L55" s="159" t="str">
        <f t="shared" si="0"/>
        <v>1974 SVEUČILIŠTE U ZAGREBU - AKADEMIJA DRAMSKE UMJETNOSTI</v>
      </c>
      <c r="M55" s="160">
        <v>1974</v>
      </c>
      <c r="N55" s="161" t="s">
        <v>558</v>
      </c>
      <c r="O55" s="161" t="s">
        <v>510</v>
      </c>
      <c r="P55" s="161" t="s">
        <v>559</v>
      </c>
      <c r="Q55" s="161" t="s">
        <v>403</v>
      </c>
      <c r="R55" s="162">
        <v>3205029</v>
      </c>
      <c r="S55" s="163" t="s">
        <v>560</v>
      </c>
      <c r="T55" s="163" t="s">
        <v>64</v>
      </c>
      <c r="U55" s="164" t="s">
        <v>63</v>
      </c>
      <c r="V55" s="154"/>
      <c r="W55" s="154"/>
      <c r="X55" s="154"/>
      <c r="Y55" s="154"/>
      <c r="Z55" s="154"/>
      <c r="AA55" s="154"/>
      <c r="AB55" s="154"/>
    </row>
    <row r="56" spans="1:28" ht="15" hidden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9">
        <v>4</v>
      </c>
      <c r="L56" s="159" t="str">
        <f t="shared" si="0"/>
        <v>1982 SVEUČILIŠTE U ZAGREBU - AKADEMIJA LIKOVNIH UMJETNOSTI</v>
      </c>
      <c r="M56" s="160">
        <v>1982</v>
      </c>
      <c r="N56" s="161" t="s">
        <v>561</v>
      </c>
      <c r="O56" s="161" t="s">
        <v>510</v>
      </c>
      <c r="P56" s="161" t="s">
        <v>562</v>
      </c>
      <c r="Q56" s="161" t="s">
        <v>403</v>
      </c>
      <c r="R56" s="162">
        <v>3207919</v>
      </c>
      <c r="S56" s="163" t="s">
        <v>563</v>
      </c>
      <c r="T56" s="163" t="s">
        <v>64</v>
      </c>
      <c r="U56" s="164" t="s">
        <v>63</v>
      </c>
      <c r="V56" s="154"/>
      <c r="W56" s="154"/>
      <c r="X56" s="154"/>
      <c r="Y56" s="154"/>
      <c r="Z56" s="154"/>
      <c r="AA56" s="154"/>
      <c r="AB56" s="154"/>
    </row>
    <row r="57" spans="1:28" ht="15" hidden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9">
        <v>5</v>
      </c>
      <c r="L57" s="159" t="str">
        <f t="shared" si="0"/>
        <v xml:space="preserve">1861 SVEUČILIŠTE U ZAGREBU - ARHITEKTONSKI FAKULTET </v>
      </c>
      <c r="M57" s="160">
        <v>1861</v>
      </c>
      <c r="N57" s="161" t="s">
        <v>564</v>
      </c>
      <c r="O57" s="161" t="s">
        <v>510</v>
      </c>
      <c r="P57" s="161" t="s">
        <v>565</v>
      </c>
      <c r="Q57" s="161" t="s">
        <v>403</v>
      </c>
      <c r="R57" s="162">
        <v>3204952</v>
      </c>
      <c r="S57" s="163" t="s">
        <v>566</v>
      </c>
      <c r="T57" s="163" t="s">
        <v>64</v>
      </c>
      <c r="U57" s="164" t="s">
        <v>63</v>
      </c>
      <c r="V57" s="154"/>
      <c r="W57" s="154"/>
      <c r="X57" s="154"/>
      <c r="Y57" s="154"/>
      <c r="Z57" s="154"/>
      <c r="AA57" s="154"/>
      <c r="AB57" s="154"/>
    </row>
    <row r="58" spans="1:28" ht="15" hidden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9">
        <v>6</v>
      </c>
      <c r="L58" s="159" t="str">
        <f t="shared" si="0"/>
        <v xml:space="preserve">1966 SVEUČILIŠTE U ZAGREBU - EDUKACIJSKO-REHABILITACIJSKI FAKULTET </v>
      </c>
      <c r="M58" s="160">
        <v>1966</v>
      </c>
      <c r="N58" s="161" t="s">
        <v>567</v>
      </c>
      <c r="O58" s="161" t="s">
        <v>510</v>
      </c>
      <c r="P58" s="161" t="s">
        <v>568</v>
      </c>
      <c r="Q58" s="161" t="s">
        <v>403</v>
      </c>
      <c r="R58" s="162">
        <v>3219780</v>
      </c>
      <c r="S58" s="163" t="s">
        <v>569</v>
      </c>
      <c r="T58" s="163" t="s">
        <v>64</v>
      </c>
      <c r="U58" s="164" t="s">
        <v>63</v>
      </c>
      <c r="V58" s="154"/>
      <c r="W58" s="154"/>
      <c r="X58" s="154"/>
      <c r="Y58" s="154"/>
      <c r="Z58" s="154"/>
      <c r="AA58" s="154"/>
      <c r="AB58" s="154"/>
    </row>
    <row r="59" spans="1:28" ht="15" hidden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9">
        <v>7</v>
      </c>
      <c r="L59" s="159" t="str">
        <f t="shared" si="0"/>
        <v>1931 SVEUČILIŠTE U ZAGREBU - EKONOMSKI FAKULTET</v>
      </c>
      <c r="M59" s="160">
        <v>1931</v>
      </c>
      <c r="N59" s="161" t="s">
        <v>570</v>
      </c>
      <c r="O59" s="161" t="s">
        <v>510</v>
      </c>
      <c r="P59" s="161" t="s">
        <v>571</v>
      </c>
      <c r="Q59" s="161" t="s">
        <v>403</v>
      </c>
      <c r="R59" s="162">
        <v>3272079</v>
      </c>
      <c r="S59" s="163" t="s">
        <v>572</v>
      </c>
      <c r="T59" s="163" t="s">
        <v>64</v>
      </c>
      <c r="U59" s="164" t="s">
        <v>63</v>
      </c>
      <c r="V59" s="154"/>
      <c r="W59" s="154"/>
      <c r="X59" s="154"/>
      <c r="Y59" s="154"/>
      <c r="Z59" s="154"/>
      <c r="AA59" s="154"/>
      <c r="AB59" s="154"/>
    </row>
    <row r="60" spans="1:28" ht="15" hidden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9">
        <v>8</v>
      </c>
      <c r="L60" s="159" t="str">
        <f t="shared" si="0"/>
        <v>1757 SVEUČILIŠTE U ZAGREBU - FAKULTET ELEKTROTEHNIKE I RAČUNARSTVA</v>
      </c>
      <c r="M60" s="160">
        <v>1757</v>
      </c>
      <c r="N60" s="161" t="s">
        <v>573</v>
      </c>
      <c r="O60" s="161" t="s">
        <v>510</v>
      </c>
      <c r="P60" s="161" t="s">
        <v>574</v>
      </c>
      <c r="Q60" s="161" t="s">
        <v>403</v>
      </c>
      <c r="R60" s="162">
        <v>3276643</v>
      </c>
      <c r="S60" s="163" t="s">
        <v>575</v>
      </c>
      <c r="T60" s="163" t="s">
        <v>64</v>
      </c>
      <c r="U60" s="164" t="s">
        <v>63</v>
      </c>
      <c r="V60" s="154"/>
      <c r="W60" s="154"/>
      <c r="X60" s="154"/>
      <c r="Y60" s="154"/>
      <c r="Z60" s="154"/>
      <c r="AA60" s="154"/>
      <c r="AB60" s="154"/>
    </row>
    <row r="61" spans="1:28" ht="15" hidden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9">
        <v>9</v>
      </c>
      <c r="L61" s="159" t="str">
        <f t="shared" si="0"/>
        <v>6154 SVEUČILIŠTA U ZAGREBU - FAKULTET FILOZOFIJE I RELIGIJSKIH ZNANOSTI</v>
      </c>
      <c r="M61" s="160">
        <v>6154</v>
      </c>
      <c r="N61" s="161" t="s">
        <v>576</v>
      </c>
      <c r="O61" s="161" t="s">
        <v>510</v>
      </c>
      <c r="P61" s="161" t="s">
        <v>577</v>
      </c>
      <c r="Q61" s="161" t="s">
        <v>403</v>
      </c>
      <c r="R61" s="162">
        <v>1235664</v>
      </c>
      <c r="S61" s="163" t="s">
        <v>578</v>
      </c>
      <c r="T61" s="163" t="s">
        <v>64</v>
      </c>
      <c r="U61" s="164" t="s">
        <v>63</v>
      </c>
      <c r="V61" s="154"/>
      <c r="W61" s="154"/>
      <c r="X61" s="154"/>
      <c r="Y61" s="154"/>
      <c r="Z61" s="154"/>
      <c r="AA61" s="154"/>
      <c r="AB61" s="154"/>
    </row>
    <row r="62" spans="1:28" ht="15" hidden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9">
        <v>10</v>
      </c>
      <c r="L62" s="159" t="str">
        <f t="shared" si="0"/>
        <v xml:space="preserve">2135 SVEUČILIŠTE U ZAGREBU - KATOLIČKI BOGOSLOVNI FAKULTET </v>
      </c>
      <c r="M62" s="160">
        <v>2135</v>
      </c>
      <c r="N62" s="161" t="s">
        <v>579</v>
      </c>
      <c r="O62" s="161" t="s">
        <v>510</v>
      </c>
      <c r="P62" s="161" t="s">
        <v>580</v>
      </c>
      <c r="Q62" s="161" t="s">
        <v>403</v>
      </c>
      <c r="R62" s="162">
        <v>3703088</v>
      </c>
      <c r="S62" s="163">
        <v>48987767944</v>
      </c>
      <c r="T62" s="163" t="s">
        <v>64</v>
      </c>
      <c r="U62" s="164" t="s">
        <v>63</v>
      </c>
      <c r="V62" s="154"/>
      <c r="W62" s="154"/>
      <c r="X62" s="154"/>
      <c r="Y62" s="154"/>
      <c r="Z62" s="154"/>
      <c r="AA62" s="154"/>
      <c r="AB62" s="154"/>
    </row>
    <row r="63" spans="1:28" ht="15" hidden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9">
        <v>11</v>
      </c>
      <c r="L63" s="159" t="str">
        <f t="shared" si="0"/>
        <v>1790 SVEUČILIŠTE U ZAGREBU - FAKULTET KEMIJSKOG INŽENJERSTVA I TEHNOLOGIJE</v>
      </c>
      <c r="M63" s="160">
        <v>1790</v>
      </c>
      <c r="N63" s="161" t="s">
        <v>581</v>
      </c>
      <c r="O63" s="161" t="s">
        <v>510</v>
      </c>
      <c r="P63" s="161" t="s">
        <v>582</v>
      </c>
      <c r="Q63" s="161" t="s">
        <v>403</v>
      </c>
      <c r="R63" s="162">
        <v>3250270</v>
      </c>
      <c r="S63" s="163" t="s">
        <v>583</v>
      </c>
      <c r="T63" s="163" t="s">
        <v>64</v>
      </c>
      <c r="U63" s="164" t="s">
        <v>63</v>
      </c>
      <c r="V63" s="154"/>
      <c r="W63" s="154"/>
      <c r="X63" s="154"/>
      <c r="Y63" s="154"/>
      <c r="Z63" s="154"/>
      <c r="AA63" s="154"/>
      <c r="AB63" s="154"/>
    </row>
    <row r="64" spans="1:28" ht="15" hidden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9">
        <v>12</v>
      </c>
      <c r="L64" s="159" t="str">
        <f t="shared" si="0"/>
        <v>1907 SVEUČILIŠTE U ZAGREBU - FAKULTET POLITIČKIH ZNANOSTI</v>
      </c>
      <c r="M64" s="160">
        <v>1907</v>
      </c>
      <c r="N64" s="161" t="s">
        <v>584</v>
      </c>
      <c r="O64" s="161" t="s">
        <v>510</v>
      </c>
      <c r="P64" s="161" t="s">
        <v>585</v>
      </c>
      <c r="Q64" s="161" t="s">
        <v>403</v>
      </c>
      <c r="R64" s="162">
        <v>3270262</v>
      </c>
      <c r="S64" s="163" t="s">
        <v>586</v>
      </c>
      <c r="T64" s="163" t="s">
        <v>64</v>
      </c>
      <c r="U64" s="164" t="s">
        <v>63</v>
      </c>
      <c r="V64" s="154"/>
      <c r="W64" s="154"/>
      <c r="X64" s="154"/>
      <c r="Y64" s="154"/>
      <c r="Z64" s="154"/>
      <c r="AA64" s="154"/>
      <c r="AB64" s="154"/>
    </row>
    <row r="65" spans="1:28" ht="15" hidden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9">
        <v>13</v>
      </c>
      <c r="L65" s="159" t="str">
        <f t="shared" si="0"/>
        <v>1812 SVEUČILIŠTE U ZAGREBU - FAKULTET PROMETNIH ZNANOSTI</v>
      </c>
      <c r="M65" s="160">
        <v>1812</v>
      </c>
      <c r="N65" s="161" t="s">
        <v>587</v>
      </c>
      <c r="O65" s="161" t="s">
        <v>510</v>
      </c>
      <c r="P65" s="161" t="s">
        <v>588</v>
      </c>
      <c r="Q65" s="161" t="s">
        <v>403</v>
      </c>
      <c r="R65" s="162">
        <v>3260771</v>
      </c>
      <c r="S65" s="163" t="s">
        <v>589</v>
      </c>
      <c r="T65" s="163" t="s">
        <v>64</v>
      </c>
      <c r="U65" s="164" t="s">
        <v>63</v>
      </c>
      <c r="V65" s="154"/>
      <c r="W65" s="154"/>
      <c r="X65" s="154"/>
      <c r="Y65" s="154"/>
      <c r="Z65" s="154"/>
      <c r="AA65" s="154"/>
      <c r="AB65" s="154"/>
    </row>
    <row r="66" spans="1:28" ht="15" hidden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9">
        <v>14</v>
      </c>
      <c r="L66" s="159" t="str">
        <f t="shared" si="0"/>
        <v>1829 SVEUČILIŠTE U ZAGREBU - FAKULTET STROJARSTVA I BRODOGRADNJE</v>
      </c>
      <c r="M66" s="160">
        <v>1829</v>
      </c>
      <c r="N66" s="161" t="s">
        <v>590</v>
      </c>
      <c r="O66" s="161" t="s">
        <v>510</v>
      </c>
      <c r="P66" s="161" t="s">
        <v>591</v>
      </c>
      <c r="Q66" s="161" t="s">
        <v>403</v>
      </c>
      <c r="R66" s="162">
        <v>3276546</v>
      </c>
      <c r="S66" s="163" t="s">
        <v>592</v>
      </c>
      <c r="T66" s="163" t="s">
        <v>64</v>
      </c>
      <c r="U66" s="164" t="s">
        <v>63</v>
      </c>
      <c r="V66" s="154"/>
      <c r="W66" s="154"/>
      <c r="X66" s="154"/>
      <c r="Y66" s="154"/>
      <c r="Z66" s="154"/>
      <c r="AA66" s="154"/>
      <c r="AB66" s="154"/>
    </row>
    <row r="67" spans="1:28" ht="15" hidden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9">
        <v>15</v>
      </c>
      <c r="L67" s="159" t="str">
        <f t="shared" si="0"/>
        <v xml:space="preserve">2014 SVEUČILIŠTE U ZAGREBU - FARMACEUTSKO-BIOKEMIJSKI FAKULTET </v>
      </c>
      <c r="M67" s="160">
        <v>2014</v>
      </c>
      <c r="N67" s="161" t="s">
        <v>593</v>
      </c>
      <c r="O67" s="161" t="s">
        <v>510</v>
      </c>
      <c r="P67" s="161" t="s">
        <v>594</v>
      </c>
      <c r="Q67" s="161" t="s">
        <v>403</v>
      </c>
      <c r="R67" s="162">
        <v>3205037</v>
      </c>
      <c r="S67" s="163" t="s">
        <v>595</v>
      </c>
      <c r="T67" s="163" t="s">
        <v>64</v>
      </c>
      <c r="U67" s="164" t="s">
        <v>63</v>
      </c>
      <c r="V67" s="154"/>
      <c r="W67" s="154"/>
      <c r="X67" s="154"/>
      <c r="Y67" s="154"/>
      <c r="Z67" s="154"/>
      <c r="AA67" s="154"/>
      <c r="AB67" s="154"/>
    </row>
    <row r="68" spans="1:28" ht="15" hidden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9">
        <v>16</v>
      </c>
      <c r="L68" s="159" t="str">
        <f t="shared" si="0"/>
        <v>1958 SVEUČILIŠTE U ZAGREBU - FILOZOFSKI FAKULTET</v>
      </c>
      <c r="M68" s="160">
        <v>1958</v>
      </c>
      <c r="N68" s="161" t="s">
        <v>596</v>
      </c>
      <c r="O68" s="161" t="s">
        <v>510</v>
      </c>
      <c r="P68" s="161" t="s">
        <v>597</v>
      </c>
      <c r="Q68" s="161" t="s">
        <v>403</v>
      </c>
      <c r="R68" s="162">
        <v>3254852</v>
      </c>
      <c r="S68" s="163" t="s">
        <v>598</v>
      </c>
      <c r="T68" s="163" t="s">
        <v>64</v>
      </c>
      <c r="U68" s="164" t="s">
        <v>63</v>
      </c>
      <c r="V68" s="154"/>
      <c r="W68" s="154"/>
      <c r="X68" s="154"/>
      <c r="Y68" s="154"/>
      <c r="Z68" s="154"/>
      <c r="AA68" s="154"/>
      <c r="AB68" s="154"/>
    </row>
    <row r="69" spans="1:28" ht="15" hidden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9">
        <v>17</v>
      </c>
      <c r="L69" s="159" t="str">
        <f t="shared" si="0"/>
        <v>1853 SVEUČILIŠTE U ZAGREBU - GEODETSKI FAKULTET</v>
      </c>
      <c r="M69" s="160">
        <v>1853</v>
      </c>
      <c r="N69" s="161" t="s">
        <v>599</v>
      </c>
      <c r="O69" s="161" t="s">
        <v>510</v>
      </c>
      <c r="P69" s="161" t="s">
        <v>600</v>
      </c>
      <c r="Q69" s="161" t="s">
        <v>403</v>
      </c>
      <c r="R69" s="162">
        <v>3204987</v>
      </c>
      <c r="S69" s="163" t="s">
        <v>601</v>
      </c>
      <c r="T69" s="163" t="s">
        <v>64</v>
      </c>
      <c r="U69" s="164" t="s">
        <v>63</v>
      </c>
      <c r="V69" s="154"/>
      <c r="W69" s="154"/>
      <c r="X69" s="154"/>
      <c r="Y69" s="154"/>
      <c r="Z69" s="154"/>
      <c r="AA69" s="154"/>
      <c r="AB69" s="154"/>
    </row>
    <row r="70" spans="1:28" ht="15" hidden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9">
        <v>18</v>
      </c>
      <c r="L70" s="159" t="str">
        <f t="shared" si="0"/>
        <v>2102 SVEUČILIŠTE U ZAGREBU - GEOTEHNIČKI FAKULTET</v>
      </c>
      <c r="M70" s="160">
        <v>2102</v>
      </c>
      <c r="N70" s="161" t="s">
        <v>602</v>
      </c>
      <c r="O70" s="161" t="s">
        <v>510</v>
      </c>
      <c r="P70" s="161" t="s">
        <v>603</v>
      </c>
      <c r="Q70" s="161" t="s">
        <v>604</v>
      </c>
      <c r="R70" s="162">
        <v>3042316</v>
      </c>
      <c r="S70" s="163" t="s">
        <v>605</v>
      </c>
      <c r="T70" s="163" t="s">
        <v>64</v>
      </c>
      <c r="U70" s="164" t="s">
        <v>63</v>
      </c>
      <c r="V70" s="154"/>
      <c r="W70" s="154"/>
      <c r="X70" s="154"/>
      <c r="Y70" s="154"/>
      <c r="Z70" s="154"/>
      <c r="AA70" s="154"/>
      <c r="AB70" s="154"/>
    </row>
    <row r="71" spans="1:28" ht="15" hidden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9">
        <v>19</v>
      </c>
      <c r="L71" s="159" t="str">
        <f t="shared" si="0"/>
        <v>1837 SVEUČILIŠTE U ZAGREBU - GRAĐEVINSKI FAKULTET</v>
      </c>
      <c r="M71" s="160">
        <v>1837</v>
      </c>
      <c r="N71" s="161" t="s">
        <v>606</v>
      </c>
      <c r="O71" s="161" t="s">
        <v>510</v>
      </c>
      <c r="P71" s="161" t="s">
        <v>607</v>
      </c>
      <c r="Q71" s="161" t="s">
        <v>403</v>
      </c>
      <c r="R71" s="162">
        <v>3227120</v>
      </c>
      <c r="S71" s="163" t="s">
        <v>608</v>
      </c>
      <c r="T71" s="163" t="s">
        <v>64</v>
      </c>
      <c r="U71" s="164" t="s">
        <v>63</v>
      </c>
      <c r="V71" s="154"/>
      <c r="W71" s="154"/>
      <c r="X71" s="154"/>
      <c r="Y71" s="154"/>
      <c r="Z71" s="154"/>
      <c r="AA71" s="154"/>
      <c r="AB71" s="154"/>
    </row>
    <row r="72" spans="1:28" ht="15" hidden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9">
        <v>20</v>
      </c>
      <c r="L72" s="159" t="str">
        <f t="shared" ref="L72:L95" si="1">M72&amp;" "&amp;N72</f>
        <v>2080 SVEUČILIŠTE U ZAGREBU - GRAFIČKI FAKULTET</v>
      </c>
      <c r="M72" s="160">
        <v>2080</v>
      </c>
      <c r="N72" s="161" t="s">
        <v>609</v>
      </c>
      <c r="O72" s="161" t="s">
        <v>510</v>
      </c>
      <c r="P72" s="161" t="s">
        <v>610</v>
      </c>
      <c r="Q72" s="161" t="s">
        <v>403</v>
      </c>
      <c r="R72" s="162">
        <v>3219763</v>
      </c>
      <c r="S72" s="163" t="s">
        <v>611</v>
      </c>
      <c r="T72" s="163" t="s">
        <v>64</v>
      </c>
      <c r="U72" s="164" t="s">
        <v>63</v>
      </c>
      <c r="V72" s="154"/>
      <c r="W72" s="154"/>
      <c r="X72" s="154"/>
      <c r="Y72" s="154"/>
      <c r="Z72" s="154"/>
      <c r="AA72" s="154"/>
      <c r="AB72" s="154"/>
    </row>
    <row r="73" spans="1:28" ht="15" hidden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9">
        <v>21</v>
      </c>
      <c r="L73" s="159" t="str">
        <f t="shared" si="1"/>
        <v>2006 SVEUČILIŠTE U ZAGREBU - KINEZIOLOŠKI FAKULTET</v>
      </c>
      <c r="M73" s="160">
        <v>2006</v>
      </c>
      <c r="N73" s="161" t="s">
        <v>612</v>
      </c>
      <c r="O73" s="161" t="s">
        <v>510</v>
      </c>
      <c r="P73" s="161" t="s">
        <v>613</v>
      </c>
      <c r="Q73" s="161" t="s">
        <v>403</v>
      </c>
      <c r="R73" s="162">
        <v>3274080</v>
      </c>
      <c r="S73" s="163" t="s">
        <v>614</v>
      </c>
      <c r="T73" s="163" t="s">
        <v>64</v>
      </c>
      <c r="U73" s="164" t="s">
        <v>63</v>
      </c>
      <c r="V73" s="154"/>
      <c r="W73" s="154"/>
      <c r="X73" s="154"/>
      <c r="Y73" s="154"/>
      <c r="Z73" s="154"/>
      <c r="AA73" s="154"/>
      <c r="AB73" s="154"/>
    </row>
    <row r="74" spans="1:28" ht="15" hidden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9">
        <v>22</v>
      </c>
      <c r="L74" s="159" t="str">
        <f t="shared" si="1"/>
        <v>1888 SVEUČILIŠTE U ZAGREBU - MEDICINSKI FAKULTET</v>
      </c>
      <c r="M74" s="160">
        <v>1888</v>
      </c>
      <c r="N74" s="161" t="s">
        <v>615</v>
      </c>
      <c r="O74" s="161" t="s">
        <v>510</v>
      </c>
      <c r="P74" s="161" t="s">
        <v>616</v>
      </c>
      <c r="Q74" s="161" t="s">
        <v>403</v>
      </c>
      <c r="R74" s="162">
        <v>3270211</v>
      </c>
      <c r="S74" s="163" t="s">
        <v>617</v>
      </c>
      <c r="T74" s="163" t="s">
        <v>64</v>
      </c>
      <c r="U74" s="164" t="s">
        <v>63</v>
      </c>
      <c r="V74" s="154"/>
      <c r="W74" s="154"/>
      <c r="X74" s="154"/>
      <c r="Y74" s="154"/>
      <c r="Z74" s="154"/>
      <c r="AA74" s="154"/>
      <c r="AB74" s="154"/>
    </row>
    <row r="75" spans="1:28" ht="15" hidden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9">
        <v>23</v>
      </c>
      <c r="L75" s="159" t="str">
        <f t="shared" si="1"/>
        <v>2071 SVEUČILIŠTE U ZAGREBU - METALURŠKI FAKULTET SISAK</v>
      </c>
      <c r="M75" s="160">
        <v>2071</v>
      </c>
      <c r="N75" s="161" t="s">
        <v>618</v>
      </c>
      <c r="O75" s="161" t="s">
        <v>510</v>
      </c>
      <c r="P75" s="161" t="s">
        <v>619</v>
      </c>
      <c r="Q75" s="161" t="s">
        <v>620</v>
      </c>
      <c r="R75" s="162">
        <v>3313786</v>
      </c>
      <c r="S75" s="163" t="s">
        <v>621</v>
      </c>
      <c r="T75" s="163" t="s">
        <v>64</v>
      </c>
      <c r="U75" s="164" t="s">
        <v>63</v>
      </c>
      <c r="V75" s="154"/>
      <c r="W75" s="154"/>
      <c r="X75" s="154"/>
      <c r="Y75" s="154"/>
      <c r="Z75" s="154"/>
      <c r="AA75" s="154"/>
      <c r="AB75" s="154"/>
    </row>
    <row r="76" spans="1:28" ht="15" hidden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9">
        <v>24</v>
      </c>
      <c r="L76" s="159" t="str">
        <f t="shared" si="1"/>
        <v>1999 SVEUČILIŠTE U ZAGREBU - MUZIČKA AKADEMIJA</v>
      </c>
      <c r="M76" s="160">
        <v>1999</v>
      </c>
      <c r="N76" s="161" t="s">
        <v>622</v>
      </c>
      <c r="O76" s="161" t="s">
        <v>510</v>
      </c>
      <c r="P76" s="161" t="s">
        <v>623</v>
      </c>
      <c r="Q76" s="161" t="s">
        <v>403</v>
      </c>
      <c r="R76" s="162">
        <v>3205002</v>
      </c>
      <c r="S76" s="163" t="s">
        <v>624</v>
      </c>
      <c r="T76" s="163" t="s">
        <v>64</v>
      </c>
      <c r="U76" s="164" t="s">
        <v>63</v>
      </c>
      <c r="V76" s="154"/>
      <c r="W76" s="154"/>
      <c r="X76" s="154"/>
      <c r="Y76" s="154"/>
      <c r="Z76" s="154"/>
      <c r="AA76" s="154"/>
      <c r="AB76" s="154"/>
    </row>
    <row r="77" spans="1:28" ht="15" hidden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9">
        <v>25</v>
      </c>
      <c r="L77" s="159" t="str">
        <f t="shared" si="1"/>
        <v>1915 SVEUČILIŠTE U ZAGREBU - PRAVNI FAKULTET</v>
      </c>
      <c r="M77" s="160">
        <v>1915</v>
      </c>
      <c r="N77" s="161" t="s">
        <v>625</v>
      </c>
      <c r="O77" s="161" t="s">
        <v>510</v>
      </c>
      <c r="P77" s="161" t="s">
        <v>626</v>
      </c>
      <c r="Q77" s="161" t="s">
        <v>403</v>
      </c>
      <c r="R77" s="162">
        <v>3225909</v>
      </c>
      <c r="S77" s="163" t="s">
        <v>627</v>
      </c>
      <c r="T77" s="163" t="s">
        <v>64</v>
      </c>
      <c r="U77" s="164" t="s">
        <v>63</v>
      </c>
      <c r="V77" s="154"/>
      <c r="W77" s="154"/>
      <c r="X77" s="154"/>
      <c r="Y77" s="154"/>
      <c r="Z77" s="154"/>
      <c r="AA77" s="154"/>
      <c r="AB77" s="154"/>
    </row>
    <row r="78" spans="1:28" ht="15" hidden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9">
        <v>26</v>
      </c>
      <c r="L78" s="159" t="str">
        <f t="shared" si="1"/>
        <v>1845 SVEUČILIŠTE U ZAGREBU - PREHRAMBENO BIOTEHNOLOŠKI FAKULTET</v>
      </c>
      <c r="M78" s="160">
        <v>1845</v>
      </c>
      <c r="N78" s="161" t="s">
        <v>628</v>
      </c>
      <c r="O78" s="161" t="s">
        <v>510</v>
      </c>
      <c r="P78" s="161" t="s">
        <v>629</v>
      </c>
      <c r="Q78" s="161" t="s">
        <v>403</v>
      </c>
      <c r="R78" s="162">
        <v>3207102</v>
      </c>
      <c r="S78" s="163" t="s">
        <v>630</v>
      </c>
      <c r="T78" s="163" t="s">
        <v>64</v>
      </c>
      <c r="U78" s="164" t="s">
        <v>63</v>
      </c>
      <c r="V78" s="154"/>
      <c r="W78" s="154"/>
      <c r="X78" s="154"/>
      <c r="Y78" s="154"/>
      <c r="Z78" s="154"/>
      <c r="AA78" s="154"/>
      <c r="AB78" s="154"/>
    </row>
    <row r="79" spans="1:28" ht="15" hidden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9">
        <v>27</v>
      </c>
      <c r="L79" s="159" t="str">
        <f t="shared" si="1"/>
        <v>1781 SVEUČILIŠTE U ZAGREBU - PRIRODOSLOVNO-MATEMATIČKI FAKULTET</v>
      </c>
      <c r="M79" s="160">
        <v>1781</v>
      </c>
      <c r="N79" s="161" t="s">
        <v>631</v>
      </c>
      <c r="O79" s="161" t="s">
        <v>510</v>
      </c>
      <c r="P79" s="161" t="s">
        <v>632</v>
      </c>
      <c r="Q79" s="161" t="s">
        <v>403</v>
      </c>
      <c r="R79" s="162">
        <v>3270149</v>
      </c>
      <c r="S79" s="163" t="s">
        <v>633</v>
      </c>
      <c r="T79" s="163" t="s">
        <v>64</v>
      </c>
      <c r="U79" s="164" t="s">
        <v>63</v>
      </c>
      <c r="V79" s="154"/>
      <c r="W79" s="154"/>
      <c r="X79" s="154"/>
      <c r="Y79" s="154"/>
      <c r="Z79" s="154"/>
      <c r="AA79" s="154"/>
      <c r="AB79" s="154"/>
    </row>
    <row r="80" spans="1:28" ht="15" hidden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9">
        <v>28</v>
      </c>
      <c r="L80" s="159" t="str">
        <f t="shared" si="1"/>
        <v>2047 SVEUČILIŠTE U ZAGREBU - RUDARSKO-GEOLOŠKO-NAFTNI FAKULTET</v>
      </c>
      <c r="M80" s="160">
        <v>2047</v>
      </c>
      <c r="N80" s="161" t="s">
        <v>634</v>
      </c>
      <c r="O80" s="161" t="s">
        <v>510</v>
      </c>
      <c r="P80" s="161" t="s">
        <v>635</v>
      </c>
      <c r="Q80" s="161" t="s">
        <v>403</v>
      </c>
      <c r="R80" s="162">
        <v>3207005</v>
      </c>
      <c r="S80" s="163" t="s">
        <v>636</v>
      </c>
      <c r="T80" s="163" t="s">
        <v>64</v>
      </c>
      <c r="U80" s="164" t="s">
        <v>63</v>
      </c>
      <c r="V80" s="154"/>
      <c r="W80" s="154"/>
      <c r="X80" s="154"/>
      <c r="Y80" s="154"/>
      <c r="Z80" s="154"/>
      <c r="AA80" s="154"/>
      <c r="AB80" s="154"/>
    </row>
    <row r="81" spans="1:28" ht="15" hidden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9">
        <v>29</v>
      </c>
      <c r="L81" s="159" t="str">
        <f t="shared" si="1"/>
        <v>1870 SVEUČILIŠTE U ZAGREBU - STOMATOLOŠKI FAKULTET</v>
      </c>
      <c r="M81" s="160">
        <v>1870</v>
      </c>
      <c r="N81" s="161" t="s">
        <v>637</v>
      </c>
      <c r="O81" s="161" t="s">
        <v>510</v>
      </c>
      <c r="P81" s="161" t="s">
        <v>638</v>
      </c>
      <c r="Q81" s="161" t="s">
        <v>403</v>
      </c>
      <c r="R81" s="162">
        <v>3204995</v>
      </c>
      <c r="S81" s="163" t="s">
        <v>639</v>
      </c>
      <c r="T81" s="163" t="s">
        <v>64</v>
      </c>
      <c r="U81" s="164" t="s">
        <v>63</v>
      </c>
      <c r="V81" s="154"/>
      <c r="W81" s="154"/>
      <c r="X81" s="154"/>
      <c r="Y81" s="154"/>
      <c r="Z81" s="154"/>
      <c r="AA81" s="154"/>
      <c r="AB81" s="154"/>
    </row>
    <row r="82" spans="1:28" ht="15" hidden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9">
        <v>30</v>
      </c>
      <c r="L82" s="159" t="str">
        <f t="shared" si="1"/>
        <v>1896 SVEUČILIŠTE U ZAGREBU - ŠUMARSKI FAKULTET</v>
      </c>
      <c r="M82" s="160">
        <v>1896</v>
      </c>
      <c r="N82" s="161" t="s">
        <v>640</v>
      </c>
      <c r="O82" s="161" t="s">
        <v>510</v>
      </c>
      <c r="P82" s="161" t="s">
        <v>641</v>
      </c>
      <c r="Q82" s="161" t="s">
        <v>403</v>
      </c>
      <c r="R82" s="162">
        <v>3281485</v>
      </c>
      <c r="S82" s="163" t="s">
        <v>642</v>
      </c>
      <c r="T82" s="163" t="s">
        <v>64</v>
      </c>
      <c r="U82" s="164" t="s">
        <v>63</v>
      </c>
      <c r="V82" s="154"/>
      <c r="W82" s="154"/>
      <c r="X82" s="154"/>
      <c r="Y82" s="154"/>
      <c r="Z82" s="154"/>
      <c r="AA82" s="154"/>
      <c r="AB82" s="154"/>
    </row>
    <row r="83" spans="1:28" ht="15" hidden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9">
        <v>31</v>
      </c>
      <c r="L83" s="159" t="str">
        <f t="shared" si="1"/>
        <v>1804 SVEUČILIŠTE U ZAGREBU - TEKSTILNO TEHNOLOŠKI FAKULTET</v>
      </c>
      <c r="M83" s="160">
        <v>1804</v>
      </c>
      <c r="N83" s="161" t="s">
        <v>643</v>
      </c>
      <c r="O83" s="161" t="s">
        <v>510</v>
      </c>
      <c r="P83" s="161" t="s">
        <v>644</v>
      </c>
      <c r="Q83" s="161" t="s">
        <v>403</v>
      </c>
      <c r="R83" s="162">
        <v>3207064</v>
      </c>
      <c r="S83" s="163" t="s">
        <v>645</v>
      </c>
      <c r="T83" s="163" t="s">
        <v>64</v>
      </c>
      <c r="U83" s="164" t="s">
        <v>63</v>
      </c>
      <c r="V83" s="154"/>
      <c r="W83" s="154"/>
      <c r="X83" s="154"/>
      <c r="Y83" s="154"/>
      <c r="Z83" s="154"/>
      <c r="AA83" s="154"/>
      <c r="AB83" s="154"/>
    </row>
    <row r="84" spans="1:28" ht="15" hidden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9">
        <v>32</v>
      </c>
      <c r="L84" s="159" t="str">
        <f t="shared" si="1"/>
        <v>1940 SVEUČILIŠTE U ZAGREBU - UČITELJSKI FAKULTET</v>
      </c>
      <c r="M84" s="160">
        <v>1940</v>
      </c>
      <c r="N84" s="161" t="s">
        <v>646</v>
      </c>
      <c r="O84" s="161" t="s">
        <v>510</v>
      </c>
      <c r="P84" s="161" t="s">
        <v>647</v>
      </c>
      <c r="Q84" s="161" t="s">
        <v>403</v>
      </c>
      <c r="R84" s="162">
        <v>1422545</v>
      </c>
      <c r="S84" s="163" t="s">
        <v>648</v>
      </c>
      <c r="T84" s="163" t="s">
        <v>64</v>
      </c>
      <c r="U84" s="164" t="s">
        <v>63</v>
      </c>
      <c r="V84" s="154"/>
      <c r="W84" s="154"/>
      <c r="X84" s="154"/>
      <c r="Y84" s="154"/>
      <c r="Z84" s="154"/>
      <c r="AA84" s="154"/>
      <c r="AB84" s="154"/>
    </row>
    <row r="85" spans="1:28" ht="15" hidden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9">
        <v>33</v>
      </c>
      <c r="L85" s="159" t="str">
        <f t="shared" si="1"/>
        <v>2022 SVEUČILIŠTE U ZAGREBU - VETERINARSKI FAKULTET</v>
      </c>
      <c r="M85" s="160">
        <v>2022</v>
      </c>
      <c r="N85" s="161" t="s">
        <v>649</v>
      </c>
      <c r="O85" s="161" t="s">
        <v>510</v>
      </c>
      <c r="P85" s="161" t="s">
        <v>650</v>
      </c>
      <c r="Q85" s="161" t="s">
        <v>403</v>
      </c>
      <c r="R85" s="162">
        <v>3225755</v>
      </c>
      <c r="S85" s="163" t="s">
        <v>651</v>
      </c>
      <c r="T85" s="163" t="s">
        <v>64</v>
      </c>
      <c r="U85" s="164" t="s">
        <v>63</v>
      </c>
      <c r="V85" s="154"/>
      <c r="W85" s="154"/>
      <c r="X85" s="154"/>
      <c r="Y85" s="154"/>
      <c r="Z85" s="154"/>
      <c r="AA85" s="154"/>
      <c r="AB85" s="154"/>
    </row>
    <row r="86" spans="1:28" ht="15" hidden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9">
        <v>34</v>
      </c>
      <c r="L86" s="159" t="str">
        <f t="shared" si="1"/>
        <v>2063 FAKULTET ORGANIZACIJE I INFORMATIKE U VARAŽDINU</v>
      </c>
      <c r="M86" s="160">
        <v>2063</v>
      </c>
      <c r="N86" s="161" t="s">
        <v>652</v>
      </c>
      <c r="O86" s="161" t="s">
        <v>510</v>
      </c>
      <c r="P86" s="161" t="s">
        <v>653</v>
      </c>
      <c r="Q86" s="161" t="s">
        <v>604</v>
      </c>
      <c r="R86" s="162">
        <v>3006107</v>
      </c>
      <c r="S86" s="163" t="s">
        <v>654</v>
      </c>
      <c r="T86" s="163" t="s">
        <v>64</v>
      </c>
      <c r="U86" s="164" t="s">
        <v>63</v>
      </c>
      <c r="V86" s="154"/>
      <c r="W86" s="154"/>
      <c r="X86" s="154"/>
      <c r="Y86" s="154"/>
      <c r="Z86" s="154"/>
      <c r="AA86" s="154"/>
      <c r="AB86" s="154"/>
    </row>
    <row r="87" spans="1:28" ht="15" hidden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9">
        <v>1</v>
      </c>
      <c r="L87" s="159" t="str">
        <f t="shared" si="1"/>
        <v>43749 MEĐIMURSKO VELEUČILIŠTE U ČAKOVCU</v>
      </c>
      <c r="M87" s="160">
        <v>43749</v>
      </c>
      <c r="N87" s="161" t="s">
        <v>655</v>
      </c>
      <c r="O87" s="161" t="s">
        <v>656</v>
      </c>
      <c r="P87" s="161" t="s">
        <v>657</v>
      </c>
      <c r="Q87" s="161" t="s">
        <v>658</v>
      </c>
      <c r="R87" s="162">
        <v>2382512</v>
      </c>
      <c r="S87" s="163" t="s">
        <v>659</v>
      </c>
      <c r="T87" s="163" t="s">
        <v>64</v>
      </c>
      <c r="U87" s="164" t="s">
        <v>63</v>
      </c>
      <c r="V87" s="154"/>
      <c r="W87" s="154"/>
      <c r="X87" s="154"/>
      <c r="Y87" s="154"/>
      <c r="Z87" s="154"/>
      <c r="AA87" s="154"/>
      <c r="AB87" s="154"/>
    </row>
    <row r="88" spans="1:28" ht="15" hidden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9">
        <v>2</v>
      </c>
      <c r="L88" s="159" t="str">
        <f t="shared" si="1"/>
        <v>22427 TEHNIČKO VELEUČILIŠTE U ZAGREBU</v>
      </c>
      <c r="M88" s="160">
        <v>22427</v>
      </c>
      <c r="N88" s="161" t="s">
        <v>660</v>
      </c>
      <c r="O88" s="161" t="s">
        <v>656</v>
      </c>
      <c r="P88" s="161" t="s">
        <v>661</v>
      </c>
      <c r="Q88" s="161" t="s">
        <v>403</v>
      </c>
      <c r="R88" s="162">
        <v>1398270</v>
      </c>
      <c r="S88" s="163" t="s">
        <v>662</v>
      </c>
      <c r="T88" s="163" t="s">
        <v>64</v>
      </c>
      <c r="U88" s="164" t="s">
        <v>63</v>
      </c>
      <c r="V88" s="154"/>
      <c r="W88" s="154"/>
      <c r="X88" s="154"/>
      <c r="Y88" s="154"/>
      <c r="Z88" s="154"/>
      <c r="AA88" s="154"/>
      <c r="AB88" s="154"/>
    </row>
    <row r="89" spans="1:28" ht="15" hidden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9">
        <v>3</v>
      </c>
      <c r="L89" s="159" t="str">
        <f t="shared" si="1"/>
        <v>38446 VELEUČILIŠTE LAVOSLAV RUŽIČKA U VUKOVARU</v>
      </c>
      <c r="M89" s="160">
        <v>38446</v>
      </c>
      <c r="N89" s="161" t="s">
        <v>663</v>
      </c>
      <c r="O89" s="161" t="s">
        <v>656</v>
      </c>
      <c r="P89" s="161" t="s">
        <v>664</v>
      </c>
      <c r="Q89" s="161" t="s">
        <v>665</v>
      </c>
      <c r="R89" s="162">
        <v>1970828</v>
      </c>
      <c r="S89" s="163" t="s">
        <v>666</v>
      </c>
      <c r="T89" s="163" t="s">
        <v>64</v>
      </c>
      <c r="U89" s="164" t="s">
        <v>63</v>
      </c>
      <c r="V89" s="154"/>
      <c r="W89" s="154"/>
      <c r="X89" s="154"/>
      <c r="Y89" s="154"/>
      <c r="Z89" s="154"/>
      <c r="AA89" s="154"/>
      <c r="AB89" s="154"/>
    </row>
    <row r="90" spans="1:28" ht="15" hidden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9">
        <v>4</v>
      </c>
      <c r="L90" s="159" t="str">
        <f t="shared" si="1"/>
        <v>38438 VELEUČILIŠTE MARKO MARULIĆ U KNINU</v>
      </c>
      <c r="M90" s="160">
        <v>38438</v>
      </c>
      <c r="N90" s="161" t="s">
        <v>667</v>
      </c>
      <c r="O90" s="161" t="s">
        <v>656</v>
      </c>
      <c r="P90" s="194" t="s">
        <v>668</v>
      </c>
      <c r="Q90" s="194" t="s">
        <v>669</v>
      </c>
      <c r="R90" s="162">
        <v>1963813</v>
      </c>
      <c r="S90" s="163" t="s">
        <v>670</v>
      </c>
      <c r="T90" s="163" t="s">
        <v>64</v>
      </c>
      <c r="U90" s="164" t="s">
        <v>63</v>
      </c>
      <c r="V90" s="154"/>
      <c r="W90" s="154"/>
      <c r="X90" s="154"/>
      <c r="Y90" s="154"/>
      <c r="Z90" s="154"/>
      <c r="AA90" s="154"/>
      <c r="AB90" s="154"/>
    </row>
    <row r="91" spans="1:28" ht="15" hidden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9">
        <v>5</v>
      </c>
      <c r="L91" s="159" t="str">
        <f t="shared" si="1"/>
        <v>41185 VELEUČILIŠTE NIKOLA TESLA U GOSPIĆU</v>
      </c>
      <c r="M91" s="160">
        <v>41185</v>
      </c>
      <c r="N91" s="161" t="s">
        <v>671</v>
      </c>
      <c r="O91" s="161" t="s">
        <v>656</v>
      </c>
      <c r="P91" s="161" t="s">
        <v>672</v>
      </c>
      <c r="Q91" s="161" t="s">
        <v>673</v>
      </c>
      <c r="R91" s="162">
        <v>2103133</v>
      </c>
      <c r="S91" s="163" t="s">
        <v>674</v>
      </c>
      <c r="T91" s="163" t="s">
        <v>64</v>
      </c>
      <c r="U91" s="164" t="s">
        <v>63</v>
      </c>
      <c r="V91" s="154"/>
      <c r="W91" s="154"/>
      <c r="X91" s="154"/>
      <c r="Y91" s="154"/>
      <c r="Z91" s="154"/>
      <c r="AA91" s="154"/>
      <c r="AB91" s="154"/>
    </row>
    <row r="92" spans="1:28" ht="15" hidden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9">
        <v>6</v>
      </c>
      <c r="L92" s="159" t="str">
        <f t="shared" si="1"/>
        <v>21053 VELEUČILIŠTE U KARLOVCU</v>
      </c>
      <c r="M92" s="160">
        <v>21053</v>
      </c>
      <c r="N92" s="161" t="s">
        <v>675</v>
      </c>
      <c r="O92" s="161" t="s">
        <v>656</v>
      </c>
      <c r="P92" s="161" t="s">
        <v>676</v>
      </c>
      <c r="Q92" s="161" t="s">
        <v>677</v>
      </c>
      <c r="R92" s="162">
        <v>1286030</v>
      </c>
      <c r="S92" s="163" t="s">
        <v>678</v>
      </c>
      <c r="T92" s="163" t="s">
        <v>64</v>
      </c>
      <c r="U92" s="164" t="s">
        <v>63</v>
      </c>
      <c r="V92" s="154"/>
      <c r="W92" s="154"/>
      <c r="X92" s="154"/>
      <c r="Y92" s="154"/>
      <c r="Z92" s="154"/>
      <c r="AA92" s="154"/>
      <c r="AB92" s="154"/>
    </row>
    <row r="93" spans="1:28" ht="15" hidden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9">
        <v>7</v>
      </c>
      <c r="L93" s="159" t="str">
        <f t="shared" si="1"/>
        <v>22398 VELEUČILIŠTE U POŽEGI</v>
      </c>
      <c r="M93" s="160">
        <v>22398</v>
      </c>
      <c r="N93" s="161" t="s">
        <v>679</v>
      </c>
      <c r="O93" s="161" t="s">
        <v>656</v>
      </c>
      <c r="P93" s="161" t="s">
        <v>680</v>
      </c>
      <c r="Q93" s="161" t="s">
        <v>681</v>
      </c>
      <c r="R93" s="162">
        <v>1395521</v>
      </c>
      <c r="S93" s="163" t="s">
        <v>682</v>
      </c>
      <c r="T93" s="163" t="s">
        <v>64</v>
      </c>
      <c r="U93" s="164" t="s">
        <v>63</v>
      </c>
      <c r="V93" s="154"/>
      <c r="W93" s="154"/>
      <c r="X93" s="154"/>
      <c r="Y93" s="154"/>
      <c r="Z93" s="154"/>
      <c r="AA93" s="154"/>
      <c r="AB93" s="154"/>
    </row>
    <row r="94" spans="1:28" ht="15" hidden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9">
        <v>8</v>
      </c>
      <c r="L94" s="159" t="str">
        <f t="shared" si="1"/>
        <v>22494 VELEUČILIŠTE U RIJECI</v>
      </c>
      <c r="M94" s="160">
        <v>22494</v>
      </c>
      <c r="N94" s="161" t="s">
        <v>683</v>
      </c>
      <c r="O94" s="161" t="s">
        <v>656</v>
      </c>
      <c r="P94" s="161" t="s">
        <v>684</v>
      </c>
      <c r="Q94" s="161" t="s">
        <v>470</v>
      </c>
      <c r="R94" s="162">
        <v>1387332</v>
      </c>
      <c r="S94" s="163" t="s">
        <v>685</v>
      </c>
      <c r="T94" s="163" t="s">
        <v>64</v>
      </c>
      <c r="U94" s="164" t="s">
        <v>63</v>
      </c>
      <c r="V94" s="154"/>
      <c r="W94" s="154"/>
      <c r="X94" s="154"/>
      <c r="Y94" s="154"/>
      <c r="Z94" s="154"/>
      <c r="AA94" s="154"/>
      <c r="AB94" s="154"/>
    </row>
    <row r="95" spans="1:28" ht="15" hidden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9">
        <v>9</v>
      </c>
      <c r="L95" s="159" t="str">
        <f t="shared" si="1"/>
        <v>41337 VELEUČILIŠTE U SLAVONSKOM BRODU</v>
      </c>
      <c r="M95" s="160">
        <v>41337</v>
      </c>
      <c r="N95" s="161" t="s">
        <v>686</v>
      </c>
      <c r="O95" s="161" t="s">
        <v>656</v>
      </c>
      <c r="P95" s="161" t="s">
        <v>687</v>
      </c>
      <c r="Q95" s="161" t="s">
        <v>438</v>
      </c>
      <c r="R95" s="162">
        <v>2152622</v>
      </c>
      <c r="S95" s="163" t="s">
        <v>688</v>
      </c>
      <c r="T95" s="163" t="s">
        <v>64</v>
      </c>
      <c r="U95" s="164" t="s">
        <v>63</v>
      </c>
      <c r="V95" s="154"/>
      <c r="W95" s="154"/>
      <c r="X95" s="154"/>
      <c r="Y95" s="154"/>
      <c r="Z95" s="154"/>
      <c r="AA95" s="154"/>
      <c r="AB95" s="154"/>
    </row>
    <row r="96" spans="1:28" ht="15" hidden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9">
        <v>10</v>
      </c>
      <c r="L96" s="159" t="str">
        <f>M96&amp;" "&amp;N96</f>
        <v>22824 VELEUČILIŠTE U ŠIBENIKU</v>
      </c>
      <c r="M96" s="160">
        <v>22824</v>
      </c>
      <c r="N96" s="161" t="s">
        <v>689</v>
      </c>
      <c r="O96" s="161" t="s">
        <v>656</v>
      </c>
      <c r="P96" s="161" t="s">
        <v>690</v>
      </c>
      <c r="Q96" s="161" t="s">
        <v>691</v>
      </c>
      <c r="R96" s="162">
        <v>2100673</v>
      </c>
      <c r="S96" s="163" t="s">
        <v>692</v>
      </c>
      <c r="T96" s="163" t="s">
        <v>64</v>
      </c>
      <c r="U96" s="164" t="s">
        <v>63</v>
      </c>
      <c r="V96" s="154"/>
      <c r="W96" s="154"/>
      <c r="X96" s="154"/>
      <c r="Y96" s="154"/>
      <c r="Z96" s="154"/>
      <c r="AA96" s="154"/>
      <c r="AB96" s="154"/>
    </row>
    <row r="97" spans="1:28" ht="15" hidden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3" t="s">
        <v>847</v>
      </c>
      <c r="L97" s="159" t="str">
        <f>M97&amp;" "&amp;N97</f>
        <v xml:space="preserve"> VELEUČILIŠTE HRVATSKO ZAGORJE</v>
      </c>
      <c r="N97" s="153" t="s">
        <v>848</v>
      </c>
      <c r="O97" s="161" t="s">
        <v>656</v>
      </c>
      <c r="T97" s="163" t="s">
        <v>64</v>
      </c>
      <c r="U97" s="164" t="s">
        <v>63</v>
      </c>
      <c r="V97" s="154"/>
      <c r="W97" s="154"/>
      <c r="X97" s="154"/>
      <c r="Y97" s="154"/>
      <c r="Z97" s="154"/>
      <c r="AA97" s="154"/>
      <c r="AB97" s="154"/>
    </row>
    <row r="98" spans="1:28" ht="15" hidden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9">
        <v>11</v>
      </c>
      <c r="L98" s="159" t="str">
        <f>M98&amp;" "&amp;N98</f>
        <v>42993 VISOKA ŠKOLA ZA MENEDŽMENT U TURIZMU I INFORMATICI</v>
      </c>
      <c r="M98" s="160">
        <v>42993</v>
      </c>
      <c r="N98" s="161" t="s">
        <v>693</v>
      </c>
      <c r="O98" s="161" t="s">
        <v>656</v>
      </c>
      <c r="P98" s="161" t="s">
        <v>694</v>
      </c>
      <c r="Q98" s="161" t="s">
        <v>695</v>
      </c>
      <c r="R98" s="162">
        <v>2282208</v>
      </c>
      <c r="S98" s="163" t="s">
        <v>696</v>
      </c>
      <c r="T98" s="163" t="s">
        <v>64</v>
      </c>
      <c r="U98" s="164" t="s">
        <v>63</v>
      </c>
      <c r="V98" s="154"/>
      <c r="W98" s="154"/>
      <c r="X98" s="154"/>
      <c r="Y98" s="154"/>
      <c r="Z98" s="154"/>
      <c r="AA98" s="154"/>
      <c r="AB98" s="154"/>
    </row>
    <row r="99" spans="1:28" ht="15" hidden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9">
        <v>12</v>
      </c>
      <c r="L99" s="159" t="str">
        <f>M99&amp;" "&amp;N99</f>
        <v>22371 VISOKO GOSPODARSKO UČILIŠTE U KRIŽEVCIMA</v>
      </c>
      <c r="M99" s="160">
        <v>22371</v>
      </c>
      <c r="N99" s="161" t="s">
        <v>697</v>
      </c>
      <c r="O99" s="161" t="s">
        <v>656</v>
      </c>
      <c r="P99" s="161" t="s">
        <v>698</v>
      </c>
      <c r="Q99" s="161" t="s">
        <v>699</v>
      </c>
      <c r="R99" s="162">
        <v>1411942</v>
      </c>
      <c r="S99" s="163" t="s">
        <v>700</v>
      </c>
      <c r="T99" s="163" t="s">
        <v>64</v>
      </c>
      <c r="U99" s="164" t="s">
        <v>63</v>
      </c>
      <c r="V99" s="154"/>
      <c r="W99" s="154"/>
      <c r="X99" s="154"/>
      <c r="Y99" s="154"/>
      <c r="Z99" s="154"/>
      <c r="AA99" s="154"/>
      <c r="AB99" s="154"/>
    </row>
    <row r="100" spans="1:28" ht="15" hidden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9">
        <v>13</v>
      </c>
      <c r="L100" s="159" t="str">
        <f>M100&amp;" "&amp;N100</f>
        <v>22832 ZDRAVSTVENO VELEUČILIŠTE</v>
      </c>
      <c r="M100" s="160">
        <v>22832</v>
      </c>
      <c r="N100" s="161" t="s">
        <v>701</v>
      </c>
      <c r="O100" s="161" t="s">
        <v>656</v>
      </c>
      <c r="P100" s="161" t="s">
        <v>702</v>
      </c>
      <c r="Q100" s="161" t="s">
        <v>403</v>
      </c>
      <c r="R100" s="162">
        <v>1274597</v>
      </c>
      <c r="S100" s="163" t="s">
        <v>703</v>
      </c>
      <c r="T100" s="163" t="s">
        <v>64</v>
      </c>
      <c r="U100" s="164" t="s">
        <v>63</v>
      </c>
      <c r="V100" s="154"/>
      <c r="W100" s="154"/>
      <c r="X100" s="154"/>
      <c r="Y100" s="154"/>
      <c r="Z100" s="154"/>
      <c r="AA100" s="154"/>
      <c r="AB100" s="154"/>
    </row>
    <row r="101" spans="1:28" ht="15" hidden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9">
        <v>1</v>
      </c>
      <c r="L101" s="159" t="str">
        <f t="shared" ref="L101:L136" si="2">M101&amp;" "&amp;N101</f>
        <v>2918 EKONOMSKI INSTITUT ZAGREB</v>
      </c>
      <c r="M101" s="160">
        <v>2918</v>
      </c>
      <c r="N101" s="161" t="s">
        <v>705</v>
      </c>
      <c r="O101" s="161" t="s">
        <v>656</v>
      </c>
      <c r="P101" s="161" t="s">
        <v>706</v>
      </c>
      <c r="Q101" s="161" t="s">
        <v>403</v>
      </c>
      <c r="R101" s="162">
        <v>3219925</v>
      </c>
      <c r="S101" s="163" t="s">
        <v>707</v>
      </c>
      <c r="T101" s="163" t="s">
        <v>834</v>
      </c>
      <c r="U101" s="164" t="s">
        <v>704</v>
      </c>
      <c r="V101" s="154"/>
      <c r="W101" s="154"/>
      <c r="X101" s="154"/>
      <c r="Y101" s="154"/>
      <c r="Z101" s="154"/>
      <c r="AA101" s="154"/>
      <c r="AB101" s="154"/>
    </row>
    <row r="102" spans="1:28" ht="15" hidden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9">
        <v>2</v>
      </c>
      <c r="L102" s="159" t="str">
        <f t="shared" si="2"/>
        <v>2934 HRVATSKI INSTITUT ZA POVIJEST</v>
      </c>
      <c r="M102" s="160">
        <v>2934</v>
      </c>
      <c r="N102" s="161" t="s">
        <v>708</v>
      </c>
      <c r="O102" s="161" t="s">
        <v>656</v>
      </c>
      <c r="P102" s="161" t="s">
        <v>709</v>
      </c>
      <c r="Q102" s="161" t="s">
        <v>403</v>
      </c>
      <c r="R102" s="162">
        <v>3207153</v>
      </c>
      <c r="S102" s="163" t="s">
        <v>710</v>
      </c>
      <c r="T102" s="163" t="s">
        <v>834</v>
      </c>
      <c r="U102" s="164" t="s">
        <v>704</v>
      </c>
      <c r="V102" s="154"/>
      <c r="W102" s="154"/>
      <c r="X102" s="154"/>
      <c r="Y102" s="154"/>
      <c r="Z102" s="154"/>
      <c r="AA102" s="154"/>
      <c r="AB102" s="154"/>
    </row>
    <row r="103" spans="1:28" ht="15" hidden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9">
        <v>3</v>
      </c>
      <c r="L103" s="159" t="str">
        <f t="shared" si="2"/>
        <v>2983 HRVATSKI VETERINARSKI INSTITUT</v>
      </c>
      <c r="M103" s="160">
        <v>2983</v>
      </c>
      <c r="N103" s="161" t="s">
        <v>711</v>
      </c>
      <c r="O103" s="161" t="s">
        <v>656</v>
      </c>
      <c r="P103" s="161" t="s">
        <v>712</v>
      </c>
      <c r="Q103" s="161" t="s">
        <v>403</v>
      </c>
      <c r="R103" s="162">
        <v>3274098</v>
      </c>
      <c r="S103" s="163" t="s">
        <v>713</v>
      </c>
      <c r="T103" s="163" t="s">
        <v>834</v>
      </c>
      <c r="U103" s="164" t="s">
        <v>704</v>
      </c>
      <c r="V103" s="154"/>
      <c r="W103" s="154"/>
      <c r="X103" s="154"/>
      <c r="Y103" s="154"/>
      <c r="Z103" s="154"/>
      <c r="AA103" s="154"/>
      <c r="AB103" s="154"/>
    </row>
    <row r="104" spans="1:28" ht="15" hidden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9">
        <v>4</v>
      </c>
      <c r="L104" s="159" t="str">
        <f t="shared" si="2"/>
        <v>3105 INSTITUT DRUŠTVENIH ZNANOSTI IVO PILAR</v>
      </c>
      <c r="M104" s="160">
        <v>3105</v>
      </c>
      <c r="N104" s="161" t="s">
        <v>714</v>
      </c>
      <c r="O104" s="161" t="s">
        <v>656</v>
      </c>
      <c r="P104" s="161" t="s">
        <v>715</v>
      </c>
      <c r="Q104" s="161" t="s">
        <v>403</v>
      </c>
      <c r="R104" s="162">
        <v>3793028</v>
      </c>
      <c r="S104" s="163" t="s">
        <v>716</v>
      </c>
      <c r="T104" s="163" t="s">
        <v>834</v>
      </c>
      <c r="U104" s="164" t="s">
        <v>704</v>
      </c>
      <c r="V104" s="154"/>
      <c r="W104" s="154"/>
      <c r="X104" s="154"/>
      <c r="Y104" s="154"/>
      <c r="Z104" s="154"/>
      <c r="AA104" s="154"/>
      <c r="AB104" s="154"/>
    </row>
    <row r="105" spans="1:28" ht="15" hidden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9">
        <v>5</v>
      </c>
      <c r="L105" s="159" t="str">
        <f t="shared" si="2"/>
        <v>3041 INSTITUT RUĐER BOŠKOVIĆ</v>
      </c>
      <c r="M105" s="160">
        <v>3041</v>
      </c>
      <c r="N105" s="161" t="s">
        <v>717</v>
      </c>
      <c r="O105" s="161" t="s">
        <v>656</v>
      </c>
      <c r="P105" s="161" t="s">
        <v>718</v>
      </c>
      <c r="Q105" s="161" t="s">
        <v>403</v>
      </c>
      <c r="R105" s="162">
        <v>3270289</v>
      </c>
      <c r="S105" s="163" t="s">
        <v>719</v>
      </c>
      <c r="T105" s="163" t="s">
        <v>834</v>
      </c>
      <c r="U105" s="164" t="s">
        <v>704</v>
      </c>
      <c r="V105" s="154"/>
      <c r="W105" s="154"/>
      <c r="X105" s="154"/>
      <c r="Y105" s="154"/>
      <c r="Z105" s="154"/>
      <c r="AA105" s="154"/>
      <c r="AB105" s="154"/>
    </row>
    <row r="106" spans="1:28" ht="15" hidden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9">
        <v>6</v>
      </c>
      <c r="L106" s="159" t="str">
        <f t="shared" si="2"/>
        <v>3113 INSTITUT ZA ANTROPOLOGIJU</v>
      </c>
      <c r="M106" s="160">
        <v>3113</v>
      </c>
      <c r="N106" s="161" t="s">
        <v>720</v>
      </c>
      <c r="O106" s="161" t="s">
        <v>656</v>
      </c>
      <c r="P106" s="161" t="s">
        <v>721</v>
      </c>
      <c r="Q106" s="161" t="s">
        <v>403</v>
      </c>
      <c r="R106" s="162">
        <v>3817121</v>
      </c>
      <c r="S106" s="163" t="s">
        <v>722</v>
      </c>
      <c r="T106" s="163" t="s">
        <v>834</v>
      </c>
      <c r="U106" s="164" t="s">
        <v>704</v>
      </c>
      <c r="V106" s="154"/>
      <c r="W106" s="154"/>
      <c r="X106" s="154"/>
      <c r="Y106" s="154"/>
      <c r="Z106" s="154"/>
      <c r="AA106" s="154"/>
      <c r="AB106" s="154"/>
    </row>
    <row r="107" spans="1:28" ht="15" hidden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9">
        <v>7</v>
      </c>
      <c r="L107" s="159" t="str">
        <f t="shared" si="2"/>
        <v>3121 INSTITUT ZA ARHEOLOGIJU</v>
      </c>
      <c r="M107" s="160">
        <v>3121</v>
      </c>
      <c r="N107" s="161" t="s">
        <v>723</v>
      </c>
      <c r="O107" s="161" t="s">
        <v>656</v>
      </c>
      <c r="P107" s="161" t="s">
        <v>721</v>
      </c>
      <c r="Q107" s="161" t="s">
        <v>403</v>
      </c>
      <c r="R107" s="162">
        <v>3937658</v>
      </c>
      <c r="S107" s="163" t="s">
        <v>724</v>
      </c>
      <c r="T107" s="163" t="s">
        <v>834</v>
      </c>
      <c r="U107" s="164" t="s">
        <v>704</v>
      </c>
      <c r="V107" s="154"/>
      <c r="W107" s="154"/>
      <c r="X107" s="154"/>
      <c r="Y107" s="154"/>
      <c r="Z107" s="154"/>
      <c r="AA107" s="154"/>
      <c r="AB107" s="154"/>
    </row>
    <row r="108" spans="1:28" ht="15" hidden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9">
        <v>8</v>
      </c>
      <c r="L108" s="159" t="str">
        <f t="shared" si="2"/>
        <v>3050 INSTITUT ZA DRUŠTVENA ISTRAŽIVANJA</v>
      </c>
      <c r="M108" s="160">
        <v>3050</v>
      </c>
      <c r="N108" s="161" t="s">
        <v>725</v>
      </c>
      <c r="O108" s="161" t="s">
        <v>656</v>
      </c>
      <c r="P108" s="161" t="s">
        <v>726</v>
      </c>
      <c r="Q108" s="161" t="s">
        <v>403</v>
      </c>
      <c r="R108" s="162">
        <v>3205118</v>
      </c>
      <c r="S108" s="163" t="s">
        <v>727</v>
      </c>
      <c r="T108" s="163" t="s">
        <v>834</v>
      </c>
      <c r="U108" s="164" t="s">
        <v>704</v>
      </c>
      <c r="V108" s="154"/>
      <c r="W108" s="154"/>
      <c r="X108" s="154"/>
      <c r="Y108" s="154"/>
      <c r="Z108" s="154"/>
      <c r="AA108" s="154"/>
      <c r="AB108" s="154"/>
    </row>
    <row r="109" spans="1:28" ht="15" hidden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9">
        <v>9</v>
      </c>
      <c r="L109" s="159" t="str">
        <f t="shared" si="2"/>
        <v>3084 INSTITUT ZA ETNOLOGIJU I FOLKLORISTIKU</v>
      </c>
      <c r="M109" s="160">
        <v>3084</v>
      </c>
      <c r="N109" s="161" t="s">
        <v>728</v>
      </c>
      <c r="O109" s="161" t="s">
        <v>656</v>
      </c>
      <c r="P109" s="161" t="s">
        <v>729</v>
      </c>
      <c r="Q109" s="161" t="s">
        <v>403</v>
      </c>
      <c r="R109" s="162">
        <v>3724042</v>
      </c>
      <c r="S109" s="163" t="s">
        <v>730</v>
      </c>
      <c r="T109" s="163" t="s">
        <v>834</v>
      </c>
      <c r="U109" s="164" t="s">
        <v>704</v>
      </c>
      <c r="V109" s="154"/>
      <c r="W109" s="154"/>
      <c r="X109" s="154"/>
      <c r="Y109" s="154"/>
      <c r="Z109" s="154"/>
      <c r="AA109" s="154"/>
      <c r="AB109" s="154"/>
    </row>
    <row r="110" spans="1:28" ht="15" hidden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9">
        <v>10</v>
      </c>
      <c r="L110" s="159" t="str">
        <f t="shared" si="2"/>
        <v>3092 INSTITUT ZA FILOZOFIJU</v>
      </c>
      <c r="M110" s="160">
        <v>3092</v>
      </c>
      <c r="N110" s="161" t="s">
        <v>731</v>
      </c>
      <c r="O110" s="161" t="s">
        <v>656</v>
      </c>
      <c r="P110" s="161" t="s">
        <v>732</v>
      </c>
      <c r="Q110" s="161" t="s">
        <v>403</v>
      </c>
      <c r="R110" s="162">
        <v>3772047</v>
      </c>
      <c r="S110" s="163" t="s">
        <v>733</v>
      </c>
      <c r="T110" s="163" t="s">
        <v>834</v>
      </c>
      <c r="U110" s="164" t="s">
        <v>704</v>
      </c>
      <c r="V110" s="154"/>
      <c r="W110" s="154"/>
      <c r="X110" s="154"/>
      <c r="Y110" s="154"/>
      <c r="Z110" s="154"/>
      <c r="AA110" s="154"/>
      <c r="AB110" s="154"/>
    </row>
    <row r="111" spans="1:28" ht="15" hidden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9">
        <v>11</v>
      </c>
      <c r="L111" s="159" t="str">
        <f t="shared" si="2"/>
        <v>2975 INSTITUT ZA FIZIKU</v>
      </c>
      <c r="M111" s="160">
        <v>2975</v>
      </c>
      <c r="N111" s="161" t="s">
        <v>734</v>
      </c>
      <c r="O111" s="161" t="s">
        <v>656</v>
      </c>
      <c r="P111" s="161" t="s">
        <v>718</v>
      </c>
      <c r="Q111" s="161" t="s">
        <v>403</v>
      </c>
      <c r="R111" s="162">
        <v>3270424</v>
      </c>
      <c r="S111" s="163" t="s">
        <v>735</v>
      </c>
      <c r="T111" s="163" t="s">
        <v>834</v>
      </c>
      <c r="U111" s="164" t="s">
        <v>704</v>
      </c>
      <c r="V111" s="154"/>
      <c r="W111" s="154"/>
      <c r="X111" s="154"/>
      <c r="Y111" s="154"/>
      <c r="Z111" s="154"/>
      <c r="AA111" s="154"/>
      <c r="AB111" s="154"/>
    </row>
    <row r="112" spans="1:28" ht="15" hidden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9">
        <v>12</v>
      </c>
      <c r="L112" s="159" t="str">
        <f t="shared" si="2"/>
        <v xml:space="preserve">22525 HRVATSKI GEOLOŠKI INSTITUT </v>
      </c>
      <c r="M112" s="160">
        <v>22525</v>
      </c>
      <c r="N112" s="161" t="s">
        <v>736</v>
      </c>
      <c r="O112" s="161" t="s">
        <v>656</v>
      </c>
      <c r="P112" s="161" t="s">
        <v>737</v>
      </c>
      <c r="Q112" s="161" t="s">
        <v>403</v>
      </c>
      <c r="R112" s="162">
        <v>3219518</v>
      </c>
      <c r="S112" s="163" t="s">
        <v>738</v>
      </c>
      <c r="T112" s="163" t="s">
        <v>834</v>
      </c>
      <c r="U112" s="164" t="s">
        <v>704</v>
      </c>
      <c r="V112" s="154"/>
      <c r="W112" s="154"/>
      <c r="X112" s="154"/>
      <c r="Y112" s="154"/>
      <c r="Z112" s="154"/>
      <c r="AA112" s="154"/>
      <c r="AB112" s="154"/>
    </row>
    <row r="113" spans="1:28" ht="15" hidden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9">
        <v>13</v>
      </c>
      <c r="L113" s="159" t="str">
        <f t="shared" si="2"/>
        <v>21061 INSTITUT ZA HRVATSKI JEZIK I JEZIKOSLOVLJE</v>
      </c>
      <c r="M113" s="160">
        <v>21061</v>
      </c>
      <c r="N113" s="161" t="s">
        <v>739</v>
      </c>
      <c r="O113" s="161" t="s">
        <v>656</v>
      </c>
      <c r="P113" s="161" t="s">
        <v>740</v>
      </c>
      <c r="Q113" s="161" t="s">
        <v>403</v>
      </c>
      <c r="R113" s="162">
        <v>1259571</v>
      </c>
      <c r="S113" s="163" t="s">
        <v>741</v>
      </c>
      <c r="T113" s="163" t="s">
        <v>834</v>
      </c>
      <c r="U113" s="164" t="s">
        <v>704</v>
      </c>
      <c r="V113" s="154"/>
      <c r="W113" s="154"/>
      <c r="X113" s="154"/>
      <c r="Y113" s="154"/>
      <c r="Z113" s="154"/>
      <c r="AA113" s="154"/>
      <c r="AB113" s="154"/>
    </row>
    <row r="114" spans="1:28" ht="15" hidden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9">
        <v>14</v>
      </c>
      <c r="L114" s="159" t="str">
        <f t="shared" si="2"/>
        <v>3025 INSTITUT ZA JADRANSKE KULTURE I MELIORACIJU KRŠA</v>
      </c>
      <c r="M114" s="160">
        <v>3025</v>
      </c>
      <c r="N114" s="161" t="s">
        <v>742</v>
      </c>
      <c r="O114" s="161" t="s">
        <v>656</v>
      </c>
      <c r="P114" s="161" t="s">
        <v>743</v>
      </c>
      <c r="Q114" s="161" t="s">
        <v>512</v>
      </c>
      <c r="R114" s="162">
        <v>3140792</v>
      </c>
      <c r="S114" s="163" t="s">
        <v>744</v>
      </c>
      <c r="T114" s="163" t="s">
        <v>834</v>
      </c>
      <c r="U114" s="164" t="s">
        <v>704</v>
      </c>
      <c r="V114" s="154"/>
      <c r="W114" s="154"/>
      <c r="X114" s="154"/>
      <c r="Y114" s="154"/>
      <c r="Z114" s="154"/>
      <c r="AA114" s="154"/>
      <c r="AB114" s="154"/>
    </row>
    <row r="115" spans="1:28" ht="15" hidden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9">
        <v>15</v>
      </c>
      <c r="L115" s="159" t="str">
        <f t="shared" si="2"/>
        <v>23286 INSTITUT ZA JAVNE FINANCIJE</v>
      </c>
      <c r="M115" s="160">
        <v>23286</v>
      </c>
      <c r="N115" s="161" t="s">
        <v>745</v>
      </c>
      <c r="O115" s="161" t="s">
        <v>656</v>
      </c>
      <c r="P115" s="161" t="s">
        <v>746</v>
      </c>
      <c r="Q115" s="161" t="s">
        <v>403</v>
      </c>
      <c r="R115" s="162">
        <v>3226344</v>
      </c>
      <c r="S115" s="163" t="s">
        <v>747</v>
      </c>
      <c r="T115" s="163" t="s">
        <v>834</v>
      </c>
      <c r="U115" s="164" t="s">
        <v>704</v>
      </c>
      <c r="V115" s="154"/>
      <c r="W115" s="154"/>
      <c r="X115" s="154"/>
      <c r="Y115" s="154"/>
      <c r="Z115" s="154"/>
      <c r="AA115" s="154"/>
      <c r="AB115" s="154"/>
    </row>
    <row r="116" spans="1:28" ht="15" hidden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9">
        <v>16</v>
      </c>
      <c r="L116" s="159" t="str">
        <f t="shared" si="2"/>
        <v>2959 INSTITUT ZA MEDICINSKA ISTRAŽIVANJA I MEDICINU RADA</v>
      </c>
      <c r="M116" s="160">
        <v>2959</v>
      </c>
      <c r="N116" s="161" t="s">
        <v>748</v>
      </c>
      <c r="O116" s="161" t="s">
        <v>656</v>
      </c>
      <c r="P116" s="161" t="s">
        <v>749</v>
      </c>
      <c r="Q116" s="161" t="s">
        <v>403</v>
      </c>
      <c r="R116" s="162">
        <v>3270475</v>
      </c>
      <c r="S116" s="163" t="s">
        <v>750</v>
      </c>
      <c r="T116" s="163" t="s">
        <v>834</v>
      </c>
      <c r="U116" s="164" t="s">
        <v>704</v>
      </c>
      <c r="V116" s="154"/>
      <c r="W116" s="154"/>
      <c r="X116" s="154"/>
      <c r="Y116" s="154"/>
      <c r="Z116" s="154"/>
      <c r="AA116" s="154"/>
      <c r="AB116" s="154"/>
    </row>
    <row r="117" spans="1:28" ht="15" hidden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9">
        <v>17</v>
      </c>
      <c r="L117" s="159" t="str">
        <f t="shared" si="2"/>
        <v>22621 INSTITUT ZA RAZVOJ I MEĐUNARODNE ODNOSE</v>
      </c>
      <c r="M117" s="160">
        <v>22621</v>
      </c>
      <c r="N117" s="161" t="s">
        <v>751</v>
      </c>
      <c r="O117" s="161" t="s">
        <v>656</v>
      </c>
      <c r="P117" s="161" t="s">
        <v>752</v>
      </c>
      <c r="Q117" s="161" t="s">
        <v>403</v>
      </c>
      <c r="R117" s="162">
        <v>3205177</v>
      </c>
      <c r="S117" s="163" t="s">
        <v>753</v>
      </c>
      <c r="T117" s="163" t="s">
        <v>834</v>
      </c>
      <c r="U117" s="164" t="s">
        <v>704</v>
      </c>
      <c r="V117" s="154"/>
      <c r="W117" s="154"/>
      <c r="X117" s="154"/>
      <c r="Y117" s="154"/>
      <c r="Z117" s="154"/>
      <c r="AA117" s="154"/>
      <c r="AB117" s="154"/>
    </row>
    <row r="118" spans="1:28" ht="15" hidden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9">
        <v>18</v>
      </c>
      <c r="L118" s="159" t="str">
        <f t="shared" si="2"/>
        <v>3009 INSTITUT ZA MIGRACIJE I NARODNOSTI</v>
      </c>
      <c r="M118" s="160">
        <v>3009</v>
      </c>
      <c r="N118" s="161" t="s">
        <v>754</v>
      </c>
      <c r="O118" s="161" t="s">
        <v>656</v>
      </c>
      <c r="P118" s="161" t="s">
        <v>755</v>
      </c>
      <c r="Q118" s="161" t="s">
        <v>403</v>
      </c>
      <c r="R118" s="162">
        <v>3287572</v>
      </c>
      <c r="S118" s="163" t="s">
        <v>756</v>
      </c>
      <c r="T118" s="163" t="s">
        <v>834</v>
      </c>
      <c r="U118" s="164" t="s">
        <v>704</v>
      </c>
      <c r="V118" s="154"/>
      <c r="W118" s="154"/>
      <c r="X118" s="154"/>
      <c r="Y118" s="154"/>
      <c r="Z118" s="154"/>
      <c r="AA118" s="154"/>
      <c r="AB118" s="154"/>
    </row>
    <row r="119" spans="1:28" ht="15" hidden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9">
        <v>19</v>
      </c>
      <c r="L119" s="159" t="str">
        <f t="shared" si="2"/>
        <v>2900 INSTITUT ZA OCEANOGRAFIJU I RIBARSTVO</v>
      </c>
      <c r="M119" s="160">
        <v>2900</v>
      </c>
      <c r="N119" s="161" t="s">
        <v>757</v>
      </c>
      <c r="O119" s="161" t="s">
        <v>656</v>
      </c>
      <c r="P119" s="161" t="s">
        <v>758</v>
      </c>
      <c r="Q119" s="161" t="s">
        <v>512</v>
      </c>
      <c r="R119" s="162">
        <v>3118355</v>
      </c>
      <c r="S119" s="163" t="s">
        <v>759</v>
      </c>
      <c r="T119" s="163" t="s">
        <v>834</v>
      </c>
      <c r="U119" s="164" t="s">
        <v>704</v>
      </c>
      <c r="V119" s="154"/>
      <c r="W119" s="154"/>
      <c r="X119" s="154"/>
      <c r="Y119" s="154"/>
      <c r="Z119" s="154"/>
      <c r="AA119" s="154"/>
      <c r="AB119" s="154"/>
    </row>
    <row r="120" spans="1:28" ht="15" hidden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9">
        <v>20</v>
      </c>
      <c r="L120" s="159" t="str">
        <f t="shared" si="2"/>
        <v>3076 INSTITUT ZA POLJOPRIVREDU I TURIZAM</v>
      </c>
      <c r="M120" s="160">
        <v>3076</v>
      </c>
      <c r="N120" s="161" t="s">
        <v>760</v>
      </c>
      <c r="O120" s="161" t="s">
        <v>656</v>
      </c>
      <c r="P120" s="161" t="s">
        <v>761</v>
      </c>
      <c r="Q120" s="161" t="s">
        <v>762</v>
      </c>
      <c r="R120" s="162">
        <v>3421031</v>
      </c>
      <c r="S120" s="163" t="s">
        <v>763</v>
      </c>
      <c r="T120" s="163" t="s">
        <v>834</v>
      </c>
      <c r="U120" s="164" t="s">
        <v>704</v>
      </c>
      <c r="V120" s="154"/>
      <c r="W120" s="154"/>
      <c r="X120" s="154"/>
      <c r="Y120" s="154"/>
      <c r="Z120" s="154"/>
      <c r="AA120" s="154"/>
      <c r="AB120" s="154"/>
    </row>
    <row r="121" spans="1:28" ht="15" hidden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9">
        <v>21</v>
      </c>
      <c r="L121" s="159" t="str">
        <f t="shared" si="2"/>
        <v>2942 INSTITUT ZA POVIJEST UMJETNOSTI</v>
      </c>
      <c r="M121" s="160">
        <v>2942</v>
      </c>
      <c r="N121" s="161" t="s">
        <v>764</v>
      </c>
      <c r="O121" s="161" t="s">
        <v>656</v>
      </c>
      <c r="P121" s="161" t="s">
        <v>765</v>
      </c>
      <c r="Q121" s="161" t="s">
        <v>403</v>
      </c>
      <c r="R121" s="162">
        <v>1339958</v>
      </c>
      <c r="S121" s="163" t="s">
        <v>766</v>
      </c>
      <c r="T121" s="163" t="s">
        <v>834</v>
      </c>
      <c r="U121" s="164" t="s">
        <v>704</v>
      </c>
      <c r="V121" s="154"/>
      <c r="W121" s="154"/>
      <c r="X121" s="154"/>
      <c r="Y121" s="154"/>
      <c r="Z121" s="154"/>
      <c r="AA121" s="154"/>
      <c r="AB121" s="154"/>
    </row>
    <row r="122" spans="1:28" ht="15" hidden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9">
        <v>22</v>
      </c>
      <c r="L122" s="159" t="str">
        <f t="shared" si="2"/>
        <v>3068 INSTITUT ZA TURIZAM</v>
      </c>
      <c r="M122" s="160">
        <v>3068</v>
      </c>
      <c r="N122" s="161" t="s">
        <v>767</v>
      </c>
      <c r="O122" s="161" t="s">
        <v>656</v>
      </c>
      <c r="P122" s="161" t="s">
        <v>768</v>
      </c>
      <c r="Q122" s="161" t="s">
        <v>403</v>
      </c>
      <c r="R122" s="162">
        <v>3208001</v>
      </c>
      <c r="S122" s="163" t="s">
        <v>769</v>
      </c>
      <c r="T122" s="163" t="s">
        <v>834</v>
      </c>
      <c r="U122" s="164" t="s">
        <v>704</v>
      </c>
      <c r="V122" s="154"/>
      <c r="W122" s="154"/>
      <c r="X122" s="154"/>
      <c r="Y122" s="154"/>
      <c r="Z122" s="154"/>
      <c r="AA122" s="154"/>
      <c r="AB122" s="154"/>
    </row>
    <row r="123" spans="1:28" ht="15" hidden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9">
        <v>23</v>
      </c>
      <c r="L123" s="159" t="str">
        <f t="shared" si="2"/>
        <v>21070 STAROSLAVENSKI INSTITUT</v>
      </c>
      <c r="M123" s="160">
        <v>21070</v>
      </c>
      <c r="N123" s="161" t="s">
        <v>770</v>
      </c>
      <c r="O123" s="161" t="s">
        <v>656</v>
      </c>
      <c r="P123" s="161" t="s">
        <v>771</v>
      </c>
      <c r="Q123" s="161" t="s">
        <v>403</v>
      </c>
      <c r="R123" s="162">
        <v>1259563</v>
      </c>
      <c r="S123" s="163" t="s">
        <v>772</v>
      </c>
      <c r="T123" s="163" t="s">
        <v>834</v>
      </c>
      <c r="U123" s="164" t="s">
        <v>704</v>
      </c>
      <c r="V123" s="154"/>
      <c r="W123" s="154"/>
      <c r="X123" s="154"/>
      <c r="Y123" s="154"/>
      <c r="Z123" s="154"/>
      <c r="AA123" s="154"/>
      <c r="AB123" s="154"/>
    </row>
    <row r="124" spans="1:28" ht="15" hidden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9">
        <v>24</v>
      </c>
      <c r="L124" s="159" t="str">
        <f t="shared" si="2"/>
        <v>2967 HRVATSKI ŠUMARSKI INSTITUT</v>
      </c>
      <c r="M124" s="160">
        <v>2967</v>
      </c>
      <c r="N124" s="161" t="s">
        <v>773</v>
      </c>
      <c r="O124" s="161" t="s">
        <v>656</v>
      </c>
      <c r="P124" s="161" t="s">
        <v>774</v>
      </c>
      <c r="Q124" s="161" t="s">
        <v>775</v>
      </c>
      <c r="R124" s="162">
        <v>3115879</v>
      </c>
      <c r="S124" s="163" t="s">
        <v>776</v>
      </c>
      <c r="T124" s="163" t="s">
        <v>834</v>
      </c>
      <c r="U124" s="164" t="s">
        <v>704</v>
      </c>
      <c r="V124" s="154"/>
      <c r="W124" s="154"/>
      <c r="X124" s="154"/>
      <c r="Y124" s="154"/>
      <c r="Z124" s="154"/>
      <c r="AA124" s="154"/>
      <c r="AB124" s="154"/>
    </row>
    <row r="125" spans="1:28" ht="15" hidden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9">
        <v>25</v>
      </c>
      <c r="L125" s="159" t="str">
        <f t="shared" si="2"/>
        <v>2991 Poljoprivredni institut, Osijek</v>
      </c>
      <c r="M125" s="160">
        <v>2991</v>
      </c>
      <c r="N125" s="161" t="s">
        <v>777</v>
      </c>
      <c r="O125" s="161" t="s">
        <v>656</v>
      </c>
      <c r="P125" s="161" t="s">
        <v>755</v>
      </c>
      <c r="Q125" s="161" t="s">
        <v>403</v>
      </c>
      <c r="R125" s="162">
        <v>3287572</v>
      </c>
      <c r="S125" s="163" t="s">
        <v>756</v>
      </c>
      <c r="T125" s="163" t="s">
        <v>834</v>
      </c>
      <c r="U125" s="164" t="s">
        <v>704</v>
      </c>
      <c r="V125" s="154"/>
      <c r="W125" s="154"/>
      <c r="X125" s="154"/>
      <c r="Y125" s="154"/>
      <c r="Z125" s="154"/>
      <c r="AA125" s="154"/>
      <c r="AB125" s="154"/>
    </row>
    <row r="126" spans="1:28" ht="15" hidden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215">
        <v>1</v>
      </c>
      <c r="L126" s="215" t="str">
        <f t="shared" si="2"/>
        <v>6179 DRŽAVNI ZAVOD ZA INTELEKTUALNO VLASNIŠTVO</v>
      </c>
      <c r="M126" s="216">
        <v>6179</v>
      </c>
      <c r="N126" s="217" t="s">
        <v>779</v>
      </c>
      <c r="O126" s="217" t="s">
        <v>656</v>
      </c>
      <c r="P126" s="217" t="s">
        <v>780</v>
      </c>
      <c r="Q126" s="217" t="s">
        <v>403</v>
      </c>
      <c r="R126" s="218">
        <v>3899772</v>
      </c>
      <c r="S126" s="219" t="s">
        <v>781</v>
      </c>
      <c r="T126" s="219" t="s">
        <v>807</v>
      </c>
      <c r="U126" s="220" t="s">
        <v>778</v>
      </c>
      <c r="V126" s="154"/>
      <c r="W126" s="154"/>
      <c r="X126" s="154"/>
      <c r="Y126" s="154"/>
      <c r="Z126" s="154"/>
      <c r="AA126" s="154"/>
      <c r="AB126" s="154"/>
    </row>
    <row r="127" spans="1:28" ht="15" hidden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215">
        <v>2</v>
      </c>
      <c r="L127" s="215" t="str">
        <f t="shared" si="2"/>
        <v>21836 NACIONALNA I SVEUČILIŠNA KNJIŽNICA U ZAGREBU</v>
      </c>
      <c r="M127" s="216">
        <v>21836</v>
      </c>
      <c r="N127" s="217" t="s">
        <v>782</v>
      </c>
      <c r="O127" s="217" t="s">
        <v>656</v>
      </c>
      <c r="P127" s="221" t="s">
        <v>783</v>
      </c>
      <c r="Q127" s="217" t="s">
        <v>403</v>
      </c>
      <c r="R127" s="218">
        <v>3205363</v>
      </c>
      <c r="S127" s="219" t="s">
        <v>784</v>
      </c>
      <c r="T127" s="219" t="s">
        <v>807</v>
      </c>
      <c r="U127" s="222" t="s">
        <v>778</v>
      </c>
      <c r="V127" s="154"/>
      <c r="W127" s="154"/>
      <c r="X127" s="154"/>
      <c r="Y127" s="154"/>
      <c r="Z127" s="154"/>
      <c r="AA127" s="154"/>
      <c r="AB127" s="154"/>
    </row>
    <row r="128" spans="1:28" ht="15" hidden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215">
        <v>3</v>
      </c>
      <c r="L128" s="215" t="str">
        <f t="shared" si="2"/>
        <v>21852 HRVATSKA AKADEMSKA I ISTRAŽIVAČKA MREŽA - CARNET</v>
      </c>
      <c r="M128" s="216">
        <v>21852</v>
      </c>
      <c r="N128" s="217" t="s">
        <v>785</v>
      </c>
      <c r="O128" s="217" t="s">
        <v>656</v>
      </c>
      <c r="P128" s="221" t="s">
        <v>786</v>
      </c>
      <c r="Q128" s="217" t="s">
        <v>403</v>
      </c>
      <c r="R128" s="218">
        <v>1147820</v>
      </c>
      <c r="S128" s="219" t="s">
        <v>787</v>
      </c>
      <c r="T128" s="219" t="s">
        <v>807</v>
      </c>
      <c r="U128" s="222" t="s">
        <v>778</v>
      </c>
      <c r="V128" s="154"/>
      <c r="W128" s="154"/>
      <c r="X128" s="154"/>
      <c r="Y128" s="154"/>
      <c r="Z128" s="154"/>
      <c r="AA128" s="154"/>
      <c r="AB128" s="154"/>
    </row>
    <row r="129" spans="1:28" ht="15" hidden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215">
        <v>4</v>
      </c>
      <c r="L129" s="215" t="str">
        <f t="shared" si="2"/>
        <v>21869 LEKSIKOGRAFSKI ZAVOD MIROSLAV KRLEŽA</v>
      </c>
      <c r="M129" s="216">
        <v>21869</v>
      </c>
      <c r="N129" s="217" t="s">
        <v>788</v>
      </c>
      <c r="O129" s="217" t="s">
        <v>656</v>
      </c>
      <c r="P129" s="221" t="s">
        <v>789</v>
      </c>
      <c r="Q129" s="217" t="s">
        <v>403</v>
      </c>
      <c r="R129" s="218">
        <v>3211622</v>
      </c>
      <c r="S129" s="219" t="s">
        <v>790</v>
      </c>
      <c r="T129" s="219" t="s">
        <v>807</v>
      </c>
      <c r="U129" s="222" t="s">
        <v>778</v>
      </c>
      <c r="V129" s="154"/>
      <c r="W129" s="154"/>
      <c r="X129" s="154"/>
      <c r="Y129" s="154"/>
      <c r="Z129" s="154"/>
      <c r="AA129" s="154"/>
      <c r="AB129" s="154"/>
    </row>
    <row r="130" spans="1:28" ht="15" hidden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215">
        <v>5</v>
      </c>
      <c r="L130" s="215" t="str">
        <f t="shared" si="2"/>
        <v>23665 SVEUČILIŠTE U ZAGREBU - SVEUČILIŠNI RAČUNSKI CENTAR - SRCE</v>
      </c>
      <c r="M130" s="216">
        <v>23665</v>
      </c>
      <c r="N130" s="217" t="s">
        <v>791</v>
      </c>
      <c r="O130" s="217" t="s">
        <v>656</v>
      </c>
      <c r="P130" s="221" t="s">
        <v>786</v>
      </c>
      <c r="Q130" s="217" t="s">
        <v>403</v>
      </c>
      <c r="R130" s="218">
        <v>3283020</v>
      </c>
      <c r="S130" s="219" t="s">
        <v>792</v>
      </c>
      <c r="T130" s="219" t="s">
        <v>807</v>
      </c>
      <c r="U130" s="222" t="s">
        <v>778</v>
      </c>
      <c r="V130" s="154"/>
      <c r="W130" s="154"/>
      <c r="X130" s="154"/>
      <c r="Y130" s="154"/>
      <c r="Z130" s="154"/>
      <c r="AA130" s="154"/>
      <c r="AB130" s="154"/>
    </row>
    <row r="131" spans="1:28" ht="15" hidden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215">
        <v>6</v>
      </c>
      <c r="L131" s="215" t="str">
        <f t="shared" si="2"/>
        <v>23962 AGENCIJA ZA ODGOJ I OBRAZOVANJE</v>
      </c>
      <c r="M131" s="216">
        <v>23962</v>
      </c>
      <c r="N131" s="217" t="s">
        <v>793</v>
      </c>
      <c r="O131" s="217" t="s">
        <v>656</v>
      </c>
      <c r="P131" s="217" t="s">
        <v>402</v>
      </c>
      <c r="Q131" s="217" t="s">
        <v>403</v>
      </c>
      <c r="R131" s="218">
        <v>1778129</v>
      </c>
      <c r="S131" s="219" t="s">
        <v>794</v>
      </c>
      <c r="T131" s="219" t="s">
        <v>807</v>
      </c>
      <c r="U131" s="222" t="s">
        <v>778</v>
      </c>
      <c r="V131" s="154"/>
      <c r="W131" s="154"/>
      <c r="X131" s="154"/>
      <c r="Y131" s="154"/>
      <c r="Z131" s="154"/>
      <c r="AA131" s="154"/>
      <c r="AB131" s="154"/>
    </row>
    <row r="132" spans="1:28" ht="15" hidden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215">
        <v>7</v>
      </c>
      <c r="L132" s="215" t="str">
        <f t="shared" si="2"/>
        <v>38487 AGENCIJA ZA ZNANOST I VISOKO OBRAZOVANJE</v>
      </c>
      <c r="M132" s="216">
        <v>38487</v>
      </c>
      <c r="N132" s="217" t="s">
        <v>795</v>
      </c>
      <c r="O132" s="217" t="s">
        <v>656</v>
      </c>
      <c r="P132" s="221" t="s">
        <v>796</v>
      </c>
      <c r="Q132" s="217" t="s">
        <v>403</v>
      </c>
      <c r="R132" s="218">
        <v>1922548</v>
      </c>
      <c r="S132" s="219" t="s">
        <v>797</v>
      </c>
      <c r="T132" s="219" t="s">
        <v>807</v>
      </c>
      <c r="U132" s="222" t="s">
        <v>778</v>
      </c>
      <c r="V132" s="154"/>
      <c r="W132" s="154"/>
      <c r="X132" s="154"/>
      <c r="Y132" s="154"/>
      <c r="Z132" s="154"/>
      <c r="AA132" s="154"/>
      <c r="AB132" s="154"/>
    </row>
    <row r="133" spans="1:28" ht="15" hidden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215">
        <v>8</v>
      </c>
      <c r="L133" s="215" t="str">
        <f t="shared" si="2"/>
        <v>40883 NACIONALNI CENTAR ZA VANJSKO VREDNOVANJE OBRAZOVANJA</v>
      </c>
      <c r="M133" s="216">
        <v>40883</v>
      </c>
      <c r="N133" s="217" t="s">
        <v>798</v>
      </c>
      <c r="O133" s="217" t="s">
        <v>656</v>
      </c>
      <c r="P133" s="221" t="s">
        <v>799</v>
      </c>
      <c r="Q133" s="217" t="s">
        <v>403</v>
      </c>
      <c r="R133" s="218">
        <v>1943430</v>
      </c>
      <c r="S133" s="219" t="s">
        <v>800</v>
      </c>
      <c r="T133" s="219" t="s">
        <v>807</v>
      </c>
      <c r="U133" s="222" t="s">
        <v>778</v>
      </c>
      <c r="V133" s="154"/>
      <c r="W133" s="154"/>
      <c r="X133" s="154"/>
      <c r="Y133" s="154"/>
      <c r="Z133" s="154"/>
      <c r="AA133" s="154"/>
      <c r="AB133" s="154"/>
    </row>
    <row r="134" spans="1:28" ht="15" hidden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215">
        <v>9</v>
      </c>
      <c r="L134" s="215" t="str">
        <f t="shared" si="2"/>
        <v>43335 AGENCIJA ZA MOBILNOST I PROGRAME EUROPSKE UNIJE</v>
      </c>
      <c r="M134" s="216">
        <v>43335</v>
      </c>
      <c r="N134" s="217" t="s">
        <v>801</v>
      </c>
      <c r="O134" s="217" t="s">
        <v>656</v>
      </c>
      <c r="P134" s="221" t="s">
        <v>789</v>
      </c>
      <c r="Q134" s="217" t="s">
        <v>403</v>
      </c>
      <c r="R134" s="218">
        <v>2298007</v>
      </c>
      <c r="S134" s="219" t="s">
        <v>802</v>
      </c>
      <c r="T134" s="219" t="s">
        <v>807</v>
      </c>
      <c r="U134" s="222" t="s">
        <v>778</v>
      </c>
      <c r="V134" s="154"/>
      <c r="W134" s="154"/>
      <c r="X134" s="154"/>
      <c r="Y134" s="154"/>
      <c r="Z134" s="154"/>
      <c r="AA134" s="154"/>
      <c r="AB134" s="154"/>
    </row>
    <row r="135" spans="1:28" ht="15" hidden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215">
        <v>10</v>
      </c>
      <c r="L135" s="215" t="str">
        <f t="shared" si="2"/>
        <v>46173 AGENCIJA ZA STRUKOVNO OBRAZOVANJE I OBRAZOVANJE ODRASLIH</v>
      </c>
      <c r="M135" s="216">
        <v>46173</v>
      </c>
      <c r="N135" s="217" t="s">
        <v>803</v>
      </c>
      <c r="O135" s="217" t="s">
        <v>656</v>
      </c>
      <c r="P135" s="221" t="s">
        <v>804</v>
      </c>
      <c r="Q135" s="217" t="s">
        <v>403</v>
      </c>
      <c r="R135" s="218">
        <v>2650029</v>
      </c>
      <c r="S135" s="219" t="s">
        <v>805</v>
      </c>
      <c r="T135" s="219" t="s">
        <v>807</v>
      </c>
      <c r="U135" s="222" t="s">
        <v>778</v>
      </c>
      <c r="V135" s="154"/>
      <c r="W135" s="154"/>
      <c r="X135" s="154"/>
      <c r="Y135" s="154"/>
      <c r="Z135" s="154"/>
      <c r="AA135" s="154"/>
      <c r="AB135" s="154"/>
    </row>
    <row r="136" spans="1:28" ht="15" hidden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215" t="str">
        <f t="shared" si="2"/>
        <v xml:space="preserve">1222 MINISTARSTVO ZNANOSTI I OBRAZOVANJA </v>
      </c>
      <c r="M136" s="154">
        <v>1222</v>
      </c>
      <c r="N136" s="154" t="s">
        <v>1641</v>
      </c>
      <c r="O136" s="154"/>
      <c r="P136" s="154"/>
      <c r="Q136" s="154"/>
      <c r="R136" s="154"/>
      <c r="S136" s="154"/>
      <c r="T136" s="154" t="s">
        <v>1642</v>
      </c>
      <c r="U136" s="220" t="s">
        <v>1290</v>
      </c>
      <c r="V136" s="154"/>
      <c r="W136" s="154"/>
      <c r="X136" s="154"/>
      <c r="Y136" s="154"/>
      <c r="Z136" s="154"/>
      <c r="AA136" s="154"/>
      <c r="AB136" s="154"/>
    </row>
    <row r="137" spans="1:28" ht="15" hidden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</row>
    <row r="138" spans="1:28" ht="15" hidden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</row>
    <row r="139" spans="1:28" ht="15" hidden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</row>
    <row r="140" spans="1:28" ht="15" hidden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</row>
    <row r="141" spans="1:28" ht="15" hidden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</row>
    <row r="142" spans="1:28" ht="15" hidden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</row>
    <row r="143" spans="1:28" ht="15" hidden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</row>
    <row r="144" spans="1:28" ht="15" hidden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</row>
    <row r="145" spans="1:28" ht="15" hidden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</row>
    <row r="146" spans="1:28" ht="15" hidden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</row>
    <row r="147" spans="1:28" ht="15" hidden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</row>
    <row r="148" spans="1:28" ht="15" hidden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</row>
    <row r="149" spans="1:28" ht="15" hidden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</row>
    <row r="150" spans="1:28" ht="15" hidden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</row>
    <row r="151" spans="1:28" ht="15" hidden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</row>
    <row r="152" spans="1:28" ht="15" hidden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</row>
    <row r="153" spans="1:28" ht="15" hidden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</row>
    <row r="154" spans="1:28" ht="15" hidden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</row>
    <row r="155" spans="1:28" ht="15" hidden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</row>
    <row r="156" spans="1:28" ht="15" hidden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</row>
    <row r="157" spans="1:28" ht="15" hidden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</row>
    <row r="158" spans="1:28" ht="15" hidden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</row>
    <row r="159" spans="1:28" ht="15" hidden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</row>
    <row r="160" spans="1:28" ht="15" hidden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</row>
    <row r="161" spans="1:28" ht="15" hidden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</row>
    <row r="162" spans="1:28" ht="15" hidden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</row>
    <row r="163" spans="1:28" ht="15" hidden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</row>
    <row r="164" spans="1:28" ht="15" hidden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</row>
    <row r="165" spans="1:28" ht="15" hidden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</row>
    <row r="166" spans="1:28" ht="15" hidden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</row>
    <row r="167" spans="1:28" ht="15" hidden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</row>
    <row r="168" spans="1:28" ht="15" hidden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</row>
    <row r="169" spans="1:28" ht="15" hidden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</row>
    <row r="170" spans="1:28" ht="15" hidden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</row>
    <row r="171" spans="1:28" ht="15" hidden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</row>
    <row r="172" spans="1:28" ht="15" hidden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</row>
    <row r="173" spans="1:28" ht="15" hidden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</row>
    <row r="174" spans="1:28" ht="15" hidden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</row>
    <row r="175" spans="1:28" ht="15" hidden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</row>
    <row r="176" spans="1:28" ht="15" hidden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</row>
    <row r="177" spans="1:28" ht="15" hidden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</row>
    <row r="178" spans="1:28" ht="15" hidden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</row>
    <row r="179" spans="1:28" ht="15" hidden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</row>
    <row r="180" spans="1:28" ht="15" hidden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</row>
    <row r="181" spans="1:28" ht="15" hidden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</row>
    <row r="182" spans="1:28" ht="15" hidden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</row>
    <row r="183" spans="1:28" ht="15" hidden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</row>
    <row r="184" spans="1:28" ht="15" hidden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</row>
    <row r="185" spans="1:28" ht="15" hidden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</row>
    <row r="186" spans="1:28" ht="15" hidden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</row>
    <row r="187" spans="1:28" ht="15" hidden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</row>
    <row r="188" spans="1:28" ht="15" hidden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</row>
    <row r="189" spans="1:28" ht="15" hidden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</row>
    <row r="190" spans="1:28" ht="15" hidden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</row>
    <row r="191" spans="1:28" ht="15" hidden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</row>
    <row r="192" spans="1:28" ht="15" hidden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</row>
    <row r="193" spans="1:28" ht="15" hidden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</row>
    <row r="194" spans="1:28" ht="15" hidden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</row>
    <row r="195" spans="1:28" ht="15" hidden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</row>
    <row r="196" spans="1:28" ht="15" hidden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</row>
    <row r="197" spans="1:28" ht="15" hidden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</row>
    <row r="198" spans="1:28" ht="15" hidden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</row>
    <row r="199" spans="1:28" ht="15" hidden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</row>
    <row r="200" spans="1:28" ht="15" hidden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</row>
    <row r="201" spans="1:28" ht="15" hidden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</row>
    <row r="202" spans="1:28" ht="15" hidden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</row>
    <row r="203" spans="1:28" ht="15" hidden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</row>
    <row r="204" spans="1:28" ht="15" hidden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</row>
    <row r="205" spans="1:28" ht="15" hidden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</row>
    <row r="206" spans="1:28" ht="15" hidden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</row>
    <row r="207" spans="1:28" ht="15" hidden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</row>
    <row r="208" spans="1:28" ht="15" hidden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</row>
    <row r="209" spans="1:28" ht="15" hidden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</row>
    <row r="210" spans="1:28" ht="15" hidden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</row>
    <row r="211" spans="1:28" ht="15" hidden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</row>
    <row r="212" spans="1:28" ht="15" hidden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</row>
    <row r="213" spans="1:28" ht="15" hidden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</row>
    <row r="214" spans="1:28" ht="15" hidden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</row>
    <row r="215" spans="1:28" ht="15" hidden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</row>
    <row r="216" spans="1:28" ht="15" hidden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</row>
    <row r="217" spans="1:28" ht="15" hidden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</row>
    <row r="218" spans="1:28" ht="15" hidden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</row>
    <row r="219" spans="1:28" ht="15" hidden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</row>
    <row r="220" spans="1:28" ht="15" hidden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</row>
    <row r="221" spans="1:28" ht="15" hidden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</row>
    <row r="222" spans="1:28" ht="15" hidden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</row>
    <row r="223" spans="1:28" ht="15" hidden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</row>
    <row r="224" spans="1:28" ht="15" hidden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</row>
    <row r="225" spans="1:28" ht="15" hidden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</row>
    <row r="226" spans="1:28" ht="15" hidden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</row>
    <row r="227" spans="1:28" ht="15" hidden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</row>
    <row r="228" spans="1:28" ht="15" hidden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</row>
    <row r="229" spans="1:28" ht="15" hidden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</row>
    <row r="230" spans="1:28" ht="15" hidden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</row>
    <row r="231" spans="1:28" ht="15" hidden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</row>
    <row r="232" spans="1:28" ht="15" hidden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</row>
    <row r="233" spans="1:28" ht="15" hidden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</row>
    <row r="234" spans="1:28" ht="15" hidden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</row>
    <row r="235" spans="1:28" ht="15" hidden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</row>
    <row r="236" spans="1:28" ht="15" hidden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</row>
    <row r="237" spans="1:28" ht="15" hidden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</row>
    <row r="238" spans="1:28" ht="15" hidden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</row>
    <row r="239" spans="1:28" ht="15" hidden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</row>
    <row r="240" spans="1:28" ht="15" hidden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</row>
    <row r="241" spans="1:28" ht="15" hidden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</row>
    <row r="242" spans="1:28" ht="15" hidden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</row>
    <row r="243" spans="1:28" ht="15" hidden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</row>
    <row r="244" spans="1:28" ht="15" hidden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</row>
    <row r="245" spans="1:28" ht="15" hidden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</row>
    <row r="246" spans="1:28" ht="15" hidden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</row>
    <row r="247" spans="1:28" ht="15" hidden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</row>
    <row r="248" spans="1:28" ht="15" hidden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</row>
    <row r="249" spans="1:28" ht="15" hidden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</row>
    <row r="250" spans="1:28" ht="15" hidden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</row>
    <row r="251" spans="1:28" ht="15" hidden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</row>
    <row r="252" spans="1:28" ht="15" hidden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</row>
    <row r="253" spans="1:28" ht="15" hidden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</row>
    <row r="254" spans="1:28" ht="15" hidden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</row>
    <row r="255" spans="1:28" ht="15" hidden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</row>
    <row r="256" spans="1:28" ht="15" hidden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</row>
    <row r="257" spans="1:28" ht="15" hidden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</row>
    <row r="258" spans="1:28" ht="15" hidden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</row>
    <row r="259" spans="1:28" ht="15" hidden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</row>
    <row r="260" spans="1:28" ht="15" hidden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</row>
    <row r="261" spans="1:28" ht="15" hidden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</row>
    <row r="262" spans="1:28" ht="15" hidden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</row>
    <row r="263" spans="1:28" ht="15" hidden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</row>
    <row r="264" spans="1:28" ht="15" hidden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</row>
    <row r="265" spans="1:28" ht="15" hidden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</row>
    <row r="266" spans="1:28" ht="15" hidden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</row>
    <row r="267" spans="1:28" ht="15" hidden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</row>
    <row r="268" spans="1:28" ht="15" hidden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</row>
    <row r="269" spans="1:28" ht="15" hidden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</row>
    <row r="270" spans="1:28" ht="15" hidden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</row>
    <row r="271" spans="1:28" ht="15" hidden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</row>
    <row r="272" spans="1:28" ht="15" hidden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</row>
    <row r="273" spans="1:28" ht="15" hidden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</row>
    <row r="274" spans="1:28" ht="15" hidden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</row>
    <row r="275" spans="1:28" ht="15" hidden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</row>
    <row r="276" spans="1:28" ht="15" hidden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</row>
    <row r="277" spans="1:28" ht="15" hidden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</row>
    <row r="278" spans="1:28" ht="15" hidden="1">
      <c r="A278" s="154"/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</row>
    <row r="279" spans="1:28" ht="15" hidden="1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</row>
    <row r="280" spans="1:28" ht="15" hidden="1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</row>
    <row r="281" spans="1:28" ht="15" hidden="1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</row>
    <row r="282" spans="1:28" ht="15" hidden="1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</row>
    <row r="283" spans="1:28" ht="15" hidden="1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</row>
    <row r="284" spans="1:28" ht="15" hidden="1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</row>
    <row r="285" spans="1:28" ht="15" hidden="1">
      <c r="A285" s="154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</row>
    <row r="286" spans="1:28" ht="15" hidden="1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</row>
    <row r="287" spans="1:28" ht="15" hidden="1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</row>
    <row r="288" spans="1:28" ht="15" hidden="1">
      <c r="A288" s="154"/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</row>
    <row r="289" spans="1:28" ht="15" hidden="1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</row>
    <row r="290" spans="1:28" ht="15" hidden="1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</row>
    <row r="291" spans="1:28" ht="15" hidden="1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</row>
    <row r="292" spans="1:28" ht="15" hidden="1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</row>
    <row r="293" spans="1:28" ht="15" hidden="1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</row>
    <row r="294" spans="1:28" ht="15" hidden="1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</row>
    <row r="295" spans="1:28" ht="15" hidden="1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</row>
    <row r="296" spans="1:28" ht="15" hidden="1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</row>
    <row r="297" spans="1:28" ht="15" hidden="1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</row>
    <row r="298" spans="1:28" ht="15" hidden="1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</row>
    <row r="299" spans="1:28" ht="15" hidden="1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</row>
    <row r="300" spans="1:28" ht="15" hidden="1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</row>
    <row r="301" spans="1:28" ht="15" hidden="1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</row>
    <row r="302" spans="1:28" ht="15" hidden="1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</row>
    <row r="303" spans="1:28" ht="15" hidden="1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</row>
    <row r="304" spans="1:28" ht="15" hidden="1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</row>
    <row r="305" spans="1:28" ht="15" hidden="1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</row>
    <row r="306" spans="1:28" ht="15" hidden="1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</row>
    <row r="307" spans="1:28" ht="15" hidden="1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</row>
    <row r="308" spans="1:28" ht="15" hidden="1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</row>
    <row r="309" spans="1:28" ht="15" hidden="1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</row>
    <row r="310" spans="1:28" ht="15" hidden="1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</row>
    <row r="311" spans="1:28" ht="15" hidden="1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</row>
    <row r="312" spans="1:28" ht="15" hidden="1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</row>
    <row r="313" spans="1:28" ht="15" hidden="1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</row>
    <row r="314" spans="1:28" ht="15" hidden="1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</row>
    <row r="315" spans="1:28" ht="15" hidden="1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</row>
    <row r="316" spans="1:28" ht="15" hidden="1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</row>
    <row r="317" spans="1:28" ht="15" hidden="1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</row>
    <row r="318" spans="1:28" ht="15" hidden="1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</row>
    <row r="319" spans="1:28" ht="15" hidden="1">
      <c r="A319" s="154"/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</row>
    <row r="320" spans="1:28" ht="15" hidden="1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</row>
    <row r="321" spans="1:28" ht="15" hidden="1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</row>
    <row r="322" spans="1:28" ht="15" hidden="1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</row>
    <row r="323" spans="1:28" ht="15" hidden="1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</row>
    <row r="324" spans="1:28" ht="15" hidden="1">
      <c r="A324" s="154"/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</row>
    <row r="325" spans="1:28" ht="15" hidden="1">
      <c r="A325" s="154"/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</row>
    <row r="326" spans="1:28" ht="15" hidden="1">
      <c r="A326" s="154"/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</row>
    <row r="327" spans="1:28" ht="15" hidden="1">
      <c r="A327" s="154"/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</row>
    <row r="328" spans="1:28" ht="15" hidden="1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</row>
    <row r="329" spans="1:28" ht="15" hidden="1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</row>
    <row r="330" spans="1:28" ht="15" hidden="1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</row>
    <row r="331" spans="1:28" ht="15" hidden="1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</row>
    <row r="332" spans="1:28" ht="15" hidden="1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</row>
    <row r="333" spans="1:28" ht="15" hidden="1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</row>
    <row r="334" spans="1:28" ht="15" hidden="1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</row>
    <row r="335" spans="1:28" ht="15" hidden="1">
      <c r="A335" s="154"/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</row>
    <row r="336" spans="1:28" ht="15" hidden="1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</row>
    <row r="337" spans="1:28" ht="15" hidden="1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</row>
    <row r="338" spans="1:28" ht="15" hidden="1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</row>
    <row r="339" spans="1:28" ht="15" hidden="1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</row>
    <row r="340" spans="1:28" ht="15" hidden="1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</row>
    <row r="341" spans="1:28" ht="15" hidden="1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</row>
    <row r="342" spans="1:28" ht="15" hidden="1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</row>
    <row r="343" spans="1:28" ht="15" hidden="1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</row>
    <row r="344" spans="1:28" ht="15" hidden="1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</row>
    <row r="345" spans="1:28" ht="15" hidden="1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</row>
    <row r="346" spans="1:28" ht="15" hidden="1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</row>
    <row r="347" spans="1:28" ht="15" hidden="1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</row>
    <row r="348" spans="1:28" ht="15" hidden="1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</row>
    <row r="349" spans="1:28" ht="15" hidden="1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</row>
    <row r="350" spans="1:28" ht="15" hidden="1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</row>
    <row r="351" spans="1:28" ht="15" hidden="1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</row>
    <row r="352" spans="1:28" ht="15" hidden="1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</row>
    <row r="353" spans="1:28" ht="15" hidden="1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</row>
    <row r="354" spans="1:28" ht="15" hidden="1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</row>
    <row r="355" spans="1:28" ht="15" hidden="1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</row>
    <row r="356" spans="1:28" ht="15" hidden="1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</row>
    <row r="357" spans="1:28" ht="15" hidden="1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</row>
    <row r="358" spans="1:28" ht="15" hidden="1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</row>
    <row r="359" spans="1:28" ht="15" hidden="1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</row>
    <row r="360" spans="1:28" ht="15" hidden="1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</row>
    <row r="361" spans="1:28" ht="15" hidden="1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</row>
    <row r="362" spans="1:28" ht="15" hidden="1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</row>
    <row r="363" spans="1:28" ht="15" hidden="1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</row>
    <row r="364" spans="1:28" ht="15" hidden="1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</row>
    <row r="365" spans="1:28" ht="15" hidden="1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</row>
    <row r="366" spans="1:28" ht="15" hidden="1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</row>
    <row r="367" spans="1:28" ht="15" hidden="1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</row>
    <row r="368" spans="1:28" ht="15" hidden="1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</row>
    <row r="369" spans="1:28" ht="15" hidden="1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</row>
    <row r="370" spans="1:28" ht="15" hidden="1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</row>
    <row r="371" spans="1:28" ht="15" hidden="1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</row>
    <row r="372" spans="1:28" ht="15" hidden="1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</row>
    <row r="373" spans="1:28" ht="15" hidden="1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</row>
    <row r="374" spans="1:28" ht="15" hidden="1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</row>
    <row r="375" spans="1:28" ht="15" hidden="1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</row>
    <row r="376" spans="1:28" ht="15" hidden="1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</row>
    <row r="377" spans="1:28" ht="15" hidden="1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</row>
    <row r="378" spans="1:28" ht="15" hidden="1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</row>
    <row r="379" spans="1:28" ht="15" hidden="1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</row>
    <row r="380" spans="1:28" ht="15" hidden="1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</row>
    <row r="381" spans="1:28" ht="15" hidden="1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</row>
    <row r="382" spans="1:28" ht="15" hidden="1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</row>
    <row r="383" spans="1:28" ht="15" hidden="1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</row>
    <row r="384" spans="1:28" ht="15" hidden="1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</row>
    <row r="385" spans="1:28" ht="15" hidden="1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</row>
    <row r="386" spans="1:28" ht="15" hidden="1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</row>
    <row r="387" spans="1:28" ht="15" hidden="1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</row>
    <row r="388" spans="1:28" ht="15" hidden="1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</row>
    <row r="389" spans="1:28" ht="15" hidden="1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</row>
    <row r="390" spans="1:28" ht="15" hidden="1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</row>
    <row r="391" spans="1:28" ht="15" hidden="1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</row>
    <row r="392" spans="1:28" ht="15" hidden="1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</row>
    <row r="393" spans="1:28" ht="15" hidden="1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</row>
    <row r="394" spans="1:28" ht="15" hidden="1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</row>
    <row r="395" spans="1:28" ht="15" hidden="1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</row>
    <row r="396" spans="1:28" ht="15" hidden="1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</row>
    <row r="397" spans="1:28" ht="15" hidden="1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</row>
    <row r="398" spans="1:28" ht="15" hidden="1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</row>
    <row r="399" spans="1:28" ht="15" hidden="1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</row>
    <row r="400" spans="1:28" ht="15" hidden="1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</row>
    <row r="401" spans="1:28" ht="15" hidden="1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</row>
    <row r="402" spans="1:28" ht="15" hidden="1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</row>
    <row r="403" spans="1:28" ht="15" hidden="1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</row>
    <row r="404" spans="1:28" ht="15" hidden="1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</row>
    <row r="405" spans="1:28" ht="15" hidden="1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</row>
    <row r="406" spans="1:28" ht="15" hidden="1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</row>
    <row r="407" spans="1:28" ht="15" hidden="1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</row>
    <row r="408" spans="1:28" ht="15" hidden="1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</row>
    <row r="409" spans="1:28" ht="15" hidden="1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</row>
    <row r="410" spans="1:28" ht="15" hidden="1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</row>
    <row r="411" spans="1:28" ht="15" hidden="1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</row>
    <row r="412" spans="1:28" ht="15" hidden="1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</row>
    <row r="413" spans="1:28" ht="15" hidden="1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</row>
    <row r="414" spans="1:28" ht="15" hidden="1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</row>
    <row r="415" spans="1:28" ht="15" hidden="1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</row>
    <row r="416" spans="1:28" ht="15" hidden="1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</row>
    <row r="417" spans="1:28" ht="15" hidden="1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</row>
    <row r="418" spans="1:28" ht="15" hidden="1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</row>
    <row r="419" spans="1:28" ht="15" hidden="1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</row>
    <row r="420" spans="1:28" ht="15" hidden="1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</row>
    <row r="421" spans="1:28" ht="15" hidden="1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</row>
    <row r="422" spans="1:28" ht="15" hidden="1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</row>
    <row r="423" spans="1:28" ht="15" hidden="1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</row>
    <row r="424" spans="1:28" ht="15" hidden="1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</row>
    <row r="425" spans="1:28" ht="15" hidden="1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</row>
    <row r="426" spans="1:28" ht="15" hidden="1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</row>
    <row r="427" spans="1:28" ht="15" hidden="1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</row>
    <row r="428" spans="1:28" ht="15" hidden="1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</row>
    <row r="429" spans="1:28" ht="15" hidden="1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</row>
    <row r="430" spans="1:28" ht="15" hidden="1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</row>
    <row r="431" spans="1:28" ht="15" hidden="1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</row>
    <row r="432" spans="1:28" ht="15" hidden="1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</row>
    <row r="433" spans="1:28" ht="15" hidden="1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</row>
    <row r="434" spans="1:28" ht="15" hidden="1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</row>
    <row r="435" spans="1:28" ht="15" hidden="1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</row>
    <row r="436" spans="1:28" ht="15" hidden="1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</row>
    <row r="437" spans="1:28" ht="15" hidden="1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</row>
    <row r="438" spans="1:28" ht="15" hidden="1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</row>
    <row r="439" spans="1:28" ht="15" hidden="1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</row>
    <row r="440" spans="1:28" ht="15" hidden="1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</row>
    <row r="441" spans="1:28" ht="15" hidden="1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</row>
    <row r="442" spans="1:28" ht="15" hidden="1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</row>
    <row r="443" spans="1:28" ht="15" hidden="1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</row>
    <row r="444" spans="1:28" ht="15" hidden="1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</row>
    <row r="445" spans="1:28" ht="15" hidden="1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</row>
    <row r="446" spans="1:28" ht="15" hidden="1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</row>
    <row r="447" spans="1:28" ht="15" hidden="1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</row>
    <row r="448" spans="1:28" ht="15" hidden="1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</row>
    <row r="449" spans="1:28" ht="15" hidden="1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</row>
    <row r="450" spans="1:28" ht="15" hidden="1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</row>
    <row r="451" spans="1:28" ht="15" hidden="1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</row>
    <row r="452" spans="1:28" ht="15" hidden="1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</row>
    <row r="453" spans="1:28" ht="15" hidden="1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</row>
    <row r="454" spans="1:28" ht="15" hidden="1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</row>
    <row r="455" spans="1:28" ht="15" hidden="1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</row>
    <row r="456" spans="1:28" ht="15" hidden="1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</row>
    <row r="457" spans="1:28" ht="15" hidden="1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</row>
    <row r="458" spans="1:28" ht="15" hidden="1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</row>
    <row r="459" spans="1:28" ht="15" hidden="1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</row>
    <row r="460" spans="1:28" ht="15" hidden="1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</row>
    <row r="461" spans="1:28" ht="15" hidden="1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</row>
    <row r="462" spans="1:28" ht="15" hidden="1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</row>
    <row r="463" spans="1:28" ht="15" hidden="1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</row>
    <row r="464" spans="1:28" ht="15" hidden="1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</row>
    <row r="465" spans="1:28" ht="15" hidden="1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</row>
    <row r="466" spans="1:28" ht="15" hidden="1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</row>
    <row r="467" spans="1:28" ht="15" hidden="1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</row>
    <row r="468" spans="1:28" ht="15" hidden="1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</row>
    <row r="469" spans="1:28" ht="15" hidden="1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</row>
    <row r="470" spans="1:28" ht="15" hidden="1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</row>
    <row r="471" spans="1:28" ht="15" hidden="1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</row>
    <row r="472" spans="1:28" ht="15" hidden="1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</row>
    <row r="473" spans="1:28" ht="15" hidden="1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</row>
    <row r="474" spans="1:28" ht="15" hidden="1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</row>
    <row r="475" spans="1:28" ht="15" hidden="1">
      <c r="A475" s="154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</row>
    <row r="476" spans="1:28" ht="15" hidden="1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</row>
    <row r="477" spans="1:28" ht="15" hidden="1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</row>
    <row r="478" spans="1:28" ht="15" hidden="1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</row>
    <row r="479" spans="1:28" ht="15" hidden="1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</row>
    <row r="480" spans="1:28" ht="15" hidden="1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</row>
    <row r="481" spans="1:28" ht="15" hidden="1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</row>
    <row r="482" spans="1:28" ht="15" hidden="1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</row>
    <row r="483" spans="1:28" ht="15" hidden="1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</row>
    <row r="484" spans="1:28" ht="15" hidden="1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</row>
    <row r="485" spans="1:28" ht="15" hidden="1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</row>
    <row r="486" spans="1:28" ht="15" hidden="1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</row>
    <row r="487" spans="1:28" ht="15" hidden="1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</row>
    <row r="488" spans="1:28" ht="15" hidden="1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</row>
    <row r="489" spans="1:28" ht="15" hidden="1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</row>
    <row r="490" spans="1:28" ht="15" hidden="1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</row>
    <row r="491" spans="1:28" ht="15" hidden="1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</row>
    <row r="492" spans="1:28" ht="15" hidden="1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</row>
    <row r="493" spans="1:28" ht="15" hidden="1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</row>
    <row r="494" spans="1:28" ht="15" hidden="1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</row>
    <row r="495" spans="1:28" ht="15" hidden="1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</row>
    <row r="496" spans="1:28" ht="15" hidden="1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</row>
    <row r="497" spans="1:28" ht="15" hidden="1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</row>
    <row r="498" spans="1:28" ht="15" hidden="1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</row>
    <row r="499" spans="1:28" ht="15" hidden="1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</row>
    <row r="500" spans="1:28" ht="15" hidden="1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</row>
    <row r="501" spans="1:28" ht="15" hidden="1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</row>
    <row r="502" spans="1:28" ht="15" hidden="1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</row>
    <row r="503" spans="1:28" ht="15" hidden="1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</row>
    <row r="504" spans="1:28" ht="15" hidden="1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</row>
    <row r="505" spans="1:28" ht="15" hidden="1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</row>
    <row r="506" spans="1:28" ht="15" hidden="1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</row>
    <row r="507" spans="1:28" ht="15" hidden="1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</row>
    <row r="508" spans="1:28" ht="15" hidden="1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</row>
    <row r="509" spans="1:28" ht="15" hidden="1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</row>
    <row r="510" spans="1:28" ht="15" hidden="1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</row>
    <row r="511" spans="1:28" ht="15" hidden="1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</row>
    <row r="512" spans="1:28" ht="15" hidden="1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</row>
    <row r="513" spans="1:28" ht="15" hidden="1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</row>
    <row r="514" spans="1:28" ht="15" hidden="1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</row>
    <row r="515" spans="1:28" ht="15" hidden="1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</row>
    <row r="516" spans="1:28" ht="15" hidden="1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</row>
    <row r="517" spans="1:28" ht="15" hidden="1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</row>
    <row r="518" spans="1:28" ht="15" hidden="1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</row>
    <row r="519" spans="1:28" ht="15" hidden="1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</row>
    <row r="520" spans="1:28" ht="15" hidden="1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</row>
    <row r="521" spans="1:28" ht="15" hidden="1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</row>
    <row r="522" spans="1:28" ht="15" hidden="1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</row>
    <row r="523" spans="1:28" ht="15" hidden="1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</row>
    <row r="524" spans="1:28" ht="15" hidden="1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</row>
    <row r="525" spans="1:28" ht="15" hidden="1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</row>
    <row r="526" spans="1:28" ht="15" hidden="1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</row>
    <row r="527" spans="1:28" ht="15" hidden="1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</row>
    <row r="528" spans="1:28" ht="15" hidden="1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</row>
    <row r="529" spans="1:28" ht="15" hidden="1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</row>
    <row r="530" spans="1:28" ht="15" hidden="1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</row>
    <row r="531" spans="1:28" ht="15" hidden="1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</row>
    <row r="532" spans="1:28" ht="15" hidden="1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</row>
    <row r="533" spans="1:28" ht="15" hidden="1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</row>
    <row r="534" spans="1:28" ht="15" hidden="1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</row>
    <row r="535" spans="1:28" ht="15" hidden="1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</row>
    <row r="536" spans="1:28" ht="15" hidden="1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</row>
    <row r="537" spans="1:28" ht="15" hidden="1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</row>
    <row r="538" spans="1:28" ht="15" hidden="1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</row>
    <row r="539" spans="1:28" ht="15" hidden="1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</row>
    <row r="540" spans="1:28" ht="15" hidden="1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</row>
    <row r="541" spans="1:28" ht="15" hidden="1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</row>
    <row r="542" spans="1:28" ht="15" hidden="1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</row>
    <row r="543" spans="1:28" ht="15" hidden="1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</row>
    <row r="544" spans="1:28" ht="15" hidden="1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</row>
    <row r="545" spans="1:28" ht="15" hidden="1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</row>
    <row r="546" spans="1:28" ht="15" hidden="1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</row>
    <row r="547" spans="1:28" ht="15" hidden="1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</row>
    <row r="548" spans="1:28" ht="15" hidden="1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</row>
    <row r="549" spans="1:28" ht="15" hidden="1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</row>
    <row r="550" spans="1:28" ht="15" hidden="1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</row>
    <row r="551" spans="1:28" ht="15" hidden="1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</row>
    <row r="552" spans="1:28" ht="15" hidden="1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</row>
    <row r="553" spans="1:28" ht="15" hidden="1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</row>
    <row r="554" spans="1:28" ht="15" hidden="1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</row>
    <row r="555" spans="1:28" ht="15" hidden="1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</row>
    <row r="556" spans="1:28" ht="15" hidden="1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</row>
    <row r="557" spans="1:28" ht="15" hidden="1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</row>
    <row r="558" spans="1:28" ht="15" hidden="1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</row>
    <row r="559" spans="1:28" ht="15" hidden="1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</row>
    <row r="560" spans="1:28" ht="15" hidden="1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</row>
    <row r="561" spans="1:28" ht="15" hidden="1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</row>
    <row r="562" spans="1:28" ht="15" hidden="1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</row>
    <row r="563" spans="1:28" ht="15" hidden="1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</row>
    <row r="564" spans="1:28" ht="15" hidden="1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</row>
    <row r="565" spans="1:28" ht="15" hidden="1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</row>
    <row r="566" spans="1:28" ht="15" hidden="1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</row>
    <row r="567" spans="1:28" ht="15" hidden="1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</row>
    <row r="568" spans="1:28" ht="15" hidden="1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</row>
    <row r="569" spans="1:28" ht="15" hidden="1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</row>
    <row r="570" spans="1:28" ht="15" hidden="1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</row>
    <row r="571" spans="1:28" ht="15" hidden="1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</row>
    <row r="572" spans="1:28" ht="15" hidden="1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</row>
    <row r="573" spans="1:28" ht="15" hidden="1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</row>
    <row r="574" spans="1:28" ht="15" hidden="1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</row>
    <row r="575" spans="1:28" ht="15" hidden="1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</row>
    <row r="576" spans="1:28" ht="15" hidden="1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</row>
    <row r="577" spans="1:28" ht="15" hidden="1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</row>
    <row r="578" spans="1:28" ht="15" hidden="1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</row>
    <row r="579" spans="1:28" ht="15" hidden="1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</row>
    <row r="580" spans="1:28" ht="15" hidden="1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</row>
    <row r="581" spans="1:28" ht="15" hidden="1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</row>
    <row r="582" spans="1:28" ht="15" hidden="1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</row>
    <row r="583" spans="1:28" ht="15" hidden="1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</row>
    <row r="584" spans="1:28" ht="15" hidden="1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</row>
    <row r="585" spans="1:28" ht="15" hidden="1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</row>
    <row r="586" spans="1:28" ht="15" hidden="1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</row>
    <row r="587" spans="1:28" ht="15" hidden="1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</row>
    <row r="588" spans="1:28" ht="15" hidden="1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</row>
    <row r="589" spans="1:28" ht="15" hidden="1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</row>
    <row r="590" spans="1:28" ht="15" hidden="1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</row>
    <row r="591" spans="1:28" ht="15" hidden="1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</row>
    <row r="592" spans="1:28" ht="15" hidden="1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</row>
    <row r="593" spans="1:28" ht="15" hidden="1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</row>
    <row r="594" spans="1:28" ht="15" hidden="1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</row>
    <row r="595" spans="1:28" ht="15" hidden="1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</row>
    <row r="596" spans="1:28" ht="15" hidden="1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</row>
    <row r="597" spans="1:28" ht="15" hidden="1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</row>
    <row r="598" spans="1:28" ht="15" hidden="1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</row>
    <row r="599" spans="1:28" ht="15" hidden="1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</row>
    <row r="600" spans="1:28" ht="15" hidden="1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</row>
    <row r="601" spans="1:28" ht="15" hidden="1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</row>
    <row r="602" spans="1:28" ht="15" hidden="1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</row>
    <row r="603" spans="1:28" ht="15" hidden="1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</row>
    <row r="604" spans="1:28" ht="15" hidden="1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</row>
    <row r="605" spans="1:28" ht="15" hidden="1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</row>
    <row r="606" spans="1:28" ht="15" hidden="1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</row>
    <row r="607" spans="1:28" ht="15" hidden="1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</row>
    <row r="608" spans="1:28" ht="15" hidden="1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</row>
    <row r="609" spans="1:28" ht="15" hidden="1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</row>
    <row r="610" spans="1:28" ht="15" hidden="1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</row>
    <row r="611" spans="1:28" ht="15" hidden="1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</row>
    <row r="612" spans="1:28" ht="15" hidden="1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</row>
    <row r="613" spans="1:28" ht="15" hidden="1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</row>
    <row r="614" spans="1:28" ht="15" hidden="1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</row>
    <row r="615" spans="1:28" ht="15" hidden="1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</row>
    <row r="616" spans="1:28" ht="15" hidden="1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</row>
    <row r="617" spans="1:28" ht="15" hidden="1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</row>
    <row r="618" spans="1:28" ht="15" hidden="1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</row>
    <row r="619" spans="1:28" ht="15" hidden="1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</row>
    <row r="620" spans="1:28" ht="15" hidden="1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</row>
    <row r="621" spans="1:28" ht="15" hidden="1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</row>
    <row r="622" spans="1:28" ht="15" hidden="1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</row>
    <row r="623" spans="1:28" ht="15" hidden="1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</row>
    <row r="624" spans="1:28" ht="15" hidden="1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</row>
    <row r="625" spans="1:28" ht="15" hidden="1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</row>
    <row r="626" spans="1:28" ht="15" hidden="1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</row>
    <row r="627" spans="1:28" ht="15" hidden="1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</row>
    <row r="628" spans="1:28" ht="15" hidden="1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</row>
    <row r="629" spans="1:28" ht="15" hidden="1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</row>
    <row r="630" spans="1:28" ht="15" hidden="1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</row>
    <row r="631" spans="1:28" ht="15" hidden="1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</row>
    <row r="632" spans="1:28" ht="15" hidden="1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</row>
    <row r="633" spans="1:28" ht="15" hidden="1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</row>
    <row r="634" spans="1:28" ht="15" hidden="1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</row>
    <row r="635" spans="1:28" ht="15" hidden="1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</row>
    <row r="636" spans="1:28" ht="15" hidden="1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</row>
    <row r="637" spans="1:28" ht="15" hidden="1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</row>
    <row r="638" spans="1:28" ht="15" hidden="1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</row>
    <row r="639" spans="1:28" ht="15" hidden="1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</row>
    <row r="640" spans="1:28" ht="15" hidden="1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</row>
    <row r="641" spans="1:28" ht="15" hidden="1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</row>
    <row r="642" spans="1:28" ht="15" hidden="1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</row>
    <row r="643" spans="1:28" ht="15" hidden="1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</row>
    <row r="644" spans="1:28" ht="15" hidden="1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</row>
    <row r="645" spans="1:28" ht="15" hidden="1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</row>
    <row r="646" spans="1:28" ht="15" hidden="1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</row>
    <row r="647" spans="1:28" ht="15" hidden="1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</row>
    <row r="648" spans="1:28" ht="15" hidden="1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</row>
    <row r="649" spans="1:28" ht="15" hidden="1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</row>
    <row r="650" spans="1:28" ht="15" hidden="1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</row>
    <row r="651" spans="1:28" ht="15" hidden="1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</row>
    <row r="652" spans="1:28" ht="15" hidden="1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</row>
    <row r="653" spans="1:28" ht="15" hidden="1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</row>
    <row r="654" spans="1:28" ht="15" hidden="1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</row>
    <row r="655" spans="1:28" ht="15" hidden="1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</row>
    <row r="656" spans="1:28" ht="15" hidden="1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</row>
    <row r="657" spans="1:28" ht="15" hidden="1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</row>
    <row r="658" spans="1:28" ht="15" hidden="1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</row>
    <row r="659" spans="1:28" ht="15" hidden="1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</row>
    <row r="660" spans="1:28" ht="15" hidden="1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</row>
    <row r="661" spans="1:28" ht="15" hidden="1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</row>
    <row r="662" spans="1:28" ht="15" hidden="1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</row>
    <row r="663" spans="1:28" ht="15" hidden="1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</row>
    <row r="664" spans="1:28" ht="15" hidden="1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</row>
    <row r="665" spans="1:28" ht="15" hidden="1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</row>
    <row r="666" spans="1:28" ht="15" hidden="1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</row>
    <row r="667" spans="1:28" ht="15" hidden="1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</row>
    <row r="668" spans="1:28" ht="15" hidden="1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</row>
    <row r="669" spans="1:28" ht="15" hidden="1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</row>
    <row r="670" spans="1:28" ht="15" hidden="1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</row>
    <row r="671" spans="1:28" ht="15" hidden="1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</row>
    <row r="672" spans="1:28" ht="15" hidden="1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</row>
    <row r="673" spans="1:28" ht="15" hidden="1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</row>
    <row r="674" spans="1:28" ht="15" hidden="1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</row>
    <row r="675" spans="1:28" ht="15" hidden="1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</row>
    <row r="676" spans="1:28" ht="15" hidden="1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</row>
    <row r="677" spans="1:28" ht="15" hidden="1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</row>
    <row r="678" spans="1:28" ht="15" hidden="1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</row>
    <row r="679" spans="1:28" ht="15" hidden="1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</row>
    <row r="680" spans="1:28" ht="15" hidden="1">
      <c r="A680" s="154"/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</row>
    <row r="681" spans="1:28" ht="15" hidden="1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</row>
    <row r="682" spans="1:28" ht="15" hidden="1">
      <c r="A682" s="154"/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</row>
    <row r="683" spans="1:28" ht="15" hidden="1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</row>
    <row r="684" spans="1:28" ht="15" hidden="1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</row>
    <row r="685" spans="1:28" ht="15" hidden="1">
      <c r="A685" s="154"/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</row>
    <row r="686" spans="1:28" ht="15" hidden="1">
      <c r="A686" s="154"/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</row>
    <row r="687" spans="1:28" ht="15" hidden="1">
      <c r="A687" s="154"/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</row>
    <row r="688" spans="1:28" ht="15" hidden="1">
      <c r="A688" s="154"/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</row>
    <row r="689" spans="1:28" ht="15" hidden="1">
      <c r="A689" s="154"/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</row>
    <row r="690" spans="1:28" ht="15" hidden="1">
      <c r="A690" s="154"/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</row>
    <row r="691" spans="1:28" ht="15" hidden="1">
      <c r="A691" s="154"/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</row>
    <row r="692" spans="1:28" ht="15" hidden="1">
      <c r="A692" s="154"/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</row>
    <row r="693" spans="1:28" ht="15" hidden="1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</row>
    <row r="694" spans="1:28" ht="15" hidden="1">
      <c r="A694" s="154"/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</row>
    <row r="695" spans="1:28" ht="15" hidden="1">
      <c r="A695" s="154"/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</row>
    <row r="696" spans="1:28" ht="15" hidden="1">
      <c r="A696" s="154"/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</row>
    <row r="697" spans="1:28" ht="15" hidden="1">
      <c r="A697" s="154"/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</row>
    <row r="698" spans="1:28" ht="15" hidden="1">
      <c r="A698" s="154"/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</row>
    <row r="699" spans="1:28" ht="15" hidden="1">
      <c r="A699" s="154"/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</row>
    <row r="700" spans="1:28" ht="15" hidden="1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</row>
    <row r="701" spans="1:28" ht="15" hidden="1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</row>
    <row r="702" spans="1:28" ht="15" hidden="1">
      <c r="A702" s="154"/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</row>
    <row r="703" spans="1:28" ht="15" hidden="1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</row>
    <row r="704" spans="1:28" ht="15" hidden="1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</row>
    <row r="705" spans="1:28" ht="15" hidden="1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</row>
    <row r="706" spans="1:28" ht="15" hidden="1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</row>
    <row r="707" spans="1:28" ht="15" hidden="1">
      <c r="A707" s="154"/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</row>
    <row r="708" spans="1:28" ht="15" hidden="1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</row>
    <row r="709" spans="1:28" ht="15" hidden="1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</row>
    <row r="710" spans="1:28" ht="15" hidden="1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</row>
    <row r="711" spans="1:28" ht="15" hidden="1">
      <c r="A711" s="154"/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</row>
    <row r="712" spans="1:28" ht="15" hidden="1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</row>
    <row r="713" spans="1:28" ht="15" hidden="1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</row>
    <row r="714" spans="1:28" ht="15" hidden="1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</row>
    <row r="715" spans="1:28" ht="15" hidden="1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</row>
    <row r="716" spans="1:28" ht="15" hidden="1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</row>
    <row r="717" spans="1:28" ht="15" hidden="1">
      <c r="A717" s="154"/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</row>
    <row r="718" spans="1:28" ht="15" hidden="1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</row>
    <row r="719" spans="1:28" ht="15" hidden="1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</row>
    <row r="720" spans="1:28" ht="15" hidden="1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</row>
    <row r="721" spans="1:28" ht="15" hidden="1">
      <c r="A721" s="154"/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</row>
    <row r="722" spans="1:28" ht="15" hidden="1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</row>
    <row r="723" spans="1:28" ht="15" hidden="1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</row>
    <row r="724" spans="1:28" ht="15" hidden="1">
      <c r="A724" s="154"/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</row>
    <row r="725" spans="1:28" ht="15" hidden="1">
      <c r="A725" s="154"/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</row>
    <row r="726" spans="1:28" ht="15" hidden="1">
      <c r="A726" s="154"/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</row>
    <row r="727" spans="1:28" ht="15" hidden="1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</row>
    <row r="728" spans="1:28" ht="15" hidden="1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</row>
    <row r="729" spans="1:28" ht="15" hidden="1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</row>
    <row r="730" spans="1:28" ht="15" hidden="1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</row>
    <row r="731" spans="1:28" ht="15" hidden="1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</row>
    <row r="732" spans="1:28" ht="15" hidden="1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</row>
    <row r="733" spans="1:28" ht="15" hidden="1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</row>
    <row r="734" spans="1:28" ht="15" hidden="1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</row>
    <row r="735" spans="1:28" ht="15" hidden="1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</row>
    <row r="736" spans="1:28" ht="15" hidden="1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</row>
    <row r="737" spans="1:28" ht="15" hidden="1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</row>
    <row r="738" spans="1:28" ht="15" hidden="1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</row>
    <row r="739" spans="1:28" ht="15" hidden="1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</row>
    <row r="740" spans="1:28" ht="15" hidden="1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</row>
    <row r="741" spans="1:28" ht="15" hidden="1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</row>
    <row r="742" spans="1:28" ht="15" hidden="1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</row>
    <row r="743" spans="1:28" ht="15" hidden="1">
      <c r="A743" s="154"/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</row>
    <row r="744" spans="1:28" ht="15" hidden="1">
      <c r="A744" s="154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</row>
    <row r="745" spans="1:28" ht="15" hidden="1">
      <c r="A745" s="154"/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</row>
    <row r="746" spans="1:28" ht="15" hidden="1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</row>
    <row r="747" spans="1:28" ht="15" hidden="1">
      <c r="A747" s="154"/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</row>
    <row r="748" spans="1:28" ht="15" hidden="1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</row>
    <row r="749" spans="1:28" ht="15" hidden="1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</row>
    <row r="750" spans="1:28" ht="15" hidden="1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</row>
    <row r="751" spans="1:28" ht="15" hidden="1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</row>
    <row r="752" spans="1:28" ht="15" hidden="1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</row>
    <row r="753" spans="1:28" ht="15" hidden="1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</row>
    <row r="754" spans="1:28" ht="15" hidden="1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</row>
    <row r="755" spans="1:28" ht="15" hidden="1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</row>
    <row r="756" spans="1:28" ht="15" hidden="1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</row>
    <row r="757" spans="1:28" ht="15" hidden="1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</row>
    <row r="758" spans="1:28" ht="15" hidden="1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</row>
    <row r="759" spans="1:28" ht="15" hidden="1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</row>
    <row r="760" spans="1:28" ht="15" hidden="1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</row>
    <row r="761" spans="1:28" ht="15" hidden="1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</row>
    <row r="762" spans="1:28" ht="15" hidden="1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</row>
    <row r="763" spans="1:28" ht="15" hidden="1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</row>
    <row r="764" spans="1:28" ht="15" hidden="1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</row>
    <row r="765" spans="1:28" ht="15" hidden="1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</row>
    <row r="766" spans="1:28" ht="15" hidden="1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</row>
    <row r="767" spans="1:28" ht="15" hidden="1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</row>
    <row r="768" spans="1:28" ht="15" hidden="1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</row>
    <row r="769" spans="1:28" ht="15" hidden="1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</row>
    <row r="770" spans="1:28" ht="15" hidden="1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</row>
    <row r="771" spans="1:28" ht="15" hidden="1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</row>
    <row r="772" spans="1:28" ht="15" hidden="1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</row>
    <row r="773" spans="1:28" ht="15" hidden="1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</row>
    <row r="774" spans="1:28" ht="15" hidden="1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</row>
    <row r="775" spans="1:28" ht="15" hidden="1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</row>
    <row r="776" spans="1:28" ht="15" hidden="1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</row>
    <row r="777" spans="1:28" ht="15" hidden="1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</row>
    <row r="778" spans="1:28" ht="15" hidden="1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</row>
    <row r="779" spans="1:28" ht="15" hidden="1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</row>
    <row r="780" spans="1:28" ht="15" hidden="1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</row>
    <row r="781" spans="1:28" ht="15" hidden="1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</row>
    <row r="782" spans="1:28" ht="15" hidden="1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</row>
    <row r="783" spans="1:28" ht="15" hidden="1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</row>
    <row r="784" spans="1:28" ht="15" hidden="1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</row>
    <row r="785" spans="1:28" ht="15" hidden="1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</row>
    <row r="786" spans="1:28" ht="15" hidden="1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</row>
    <row r="787" spans="1:28" ht="15" hidden="1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</row>
    <row r="788" spans="1:28" ht="15" hidden="1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</row>
    <row r="789" spans="1:28" ht="15" hidden="1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</row>
    <row r="790" spans="1:28" ht="15" hidden="1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</row>
    <row r="791" spans="1:28" ht="15" hidden="1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</row>
    <row r="792" spans="1:28" ht="15" hidden="1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</row>
    <row r="793" spans="1:28" ht="15" hidden="1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</row>
    <row r="794" spans="1:28" ht="15" hidden="1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</row>
    <row r="795" spans="1:28" ht="15" hidden="1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</row>
    <row r="796" spans="1:28" ht="15" hidden="1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</row>
    <row r="797" spans="1:28" ht="15" hidden="1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</row>
    <row r="798" spans="1:28" ht="15" hidden="1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</row>
    <row r="799" spans="1:28" ht="15" hidden="1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</row>
    <row r="800" spans="1:28" ht="15" hidden="1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</row>
    <row r="801" spans="1:28" ht="15" hidden="1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</row>
    <row r="802" spans="1:28" ht="15" hidden="1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</row>
    <row r="803" spans="1:28" ht="15" hidden="1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</row>
    <row r="804" spans="1:28" ht="15" hidden="1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</row>
    <row r="805" spans="1:28" ht="15" hidden="1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</row>
    <row r="806" spans="1:28" ht="15" hidden="1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</row>
    <row r="807" spans="1:28" ht="15" hidden="1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</row>
    <row r="808" spans="1:28" ht="15" hidden="1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</row>
    <row r="809" spans="1:28" ht="15" hidden="1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</row>
    <row r="810" spans="1:28" ht="15" hidden="1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</row>
    <row r="811" spans="1:28" ht="15" hidden="1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</row>
    <row r="812" spans="1:28" ht="15" hidden="1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</row>
    <row r="813" spans="1:28" ht="15" hidden="1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</row>
    <row r="814" spans="1:28" ht="15" hidden="1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</row>
    <row r="815" spans="1:28" ht="15" hidden="1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</row>
    <row r="816" spans="1:28" ht="15" hidden="1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</row>
    <row r="817" spans="1:28" ht="15" hidden="1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</row>
    <row r="818" spans="1:28" ht="15" hidden="1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</row>
    <row r="819" spans="1:28" ht="15" hidden="1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</row>
    <row r="820" spans="1:28" ht="15" hidden="1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</row>
    <row r="821" spans="1:28" ht="15" hidden="1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</row>
    <row r="822" spans="1:28" ht="15" hidden="1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</row>
    <row r="823" spans="1:28" ht="15" hidden="1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</row>
    <row r="824" spans="1:28" ht="15" hidden="1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</row>
    <row r="825" spans="1:28" ht="15" hidden="1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</row>
    <row r="826" spans="1:28" ht="15" hidden="1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</row>
    <row r="827" spans="1:28" ht="15" hidden="1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</row>
    <row r="828" spans="1:28" ht="15" hidden="1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</row>
    <row r="829" spans="1:28" ht="15" hidden="1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</row>
    <row r="830" spans="1:28" ht="15" hidden="1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</row>
    <row r="831" spans="1:28" ht="15" hidden="1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</row>
    <row r="832" spans="1:28" ht="15" hidden="1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</row>
    <row r="833" spans="1:28" ht="15" hidden="1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</row>
    <row r="834" spans="1:28" ht="15" hidden="1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</row>
    <row r="835" spans="1:28" ht="15" hidden="1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</row>
    <row r="836" spans="1:28" ht="15" hidden="1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</row>
    <row r="837" spans="1:28" ht="15" hidden="1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</row>
    <row r="838" spans="1:28" ht="15" hidden="1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</row>
    <row r="839" spans="1:28" ht="15" hidden="1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</row>
    <row r="840" spans="1:28" ht="15" hidden="1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</row>
    <row r="841" spans="1:28" ht="15" hidden="1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</row>
    <row r="842" spans="1:28" ht="15" hidden="1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</row>
    <row r="843" spans="1:28" ht="15" hidden="1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</row>
    <row r="844" spans="1:28" ht="15" hidden="1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</row>
    <row r="845" spans="1:28" ht="15" hidden="1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</row>
    <row r="846" spans="1:28" ht="15" hidden="1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</row>
    <row r="847" spans="1:28" ht="15" hidden="1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</row>
    <row r="848" spans="1:28" ht="15" hidden="1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</row>
    <row r="849" spans="1:28" ht="15" hidden="1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</row>
    <row r="850" spans="1:28" ht="15" hidden="1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</row>
    <row r="851" spans="1:28" ht="15" hidden="1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</row>
    <row r="852" spans="1:28" ht="15" hidden="1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</row>
    <row r="853" spans="1:28" ht="15" hidden="1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</row>
    <row r="854" spans="1:28" ht="15" hidden="1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</row>
    <row r="855" spans="1:28" ht="15" hidden="1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</row>
    <row r="856" spans="1:28" ht="15" hidden="1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</row>
    <row r="857" spans="1:28" ht="15" hidden="1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</row>
    <row r="858" spans="1:28" ht="15" hidden="1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</row>
    <row r="859" spans="1:28" ht="15" hidden="1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</row>
    <row r="860" spans="1:28" ht="15" hidden="1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</row>
    <row r="861" spans="1:28" ht="15" hidden="1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</row>
    <row r="862" spans="1:28" ht="15" hidden="1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</row>
    <row r="863" spans="1:28" ht="15" hidden="1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</row>
    <row r="864" spans="1:28" ht="15" hidden="1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</row>
    <row r="865" spans="1:28" ht="15" hidden="1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</row>
    <row r="866" spans="1:28" ht="15" hidden="1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</row>
    <row r="867" spans="1:28" ht="15" hidden="1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</row>
    <row r="868" spans="1:28" ht="15" hidden="1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</row>
    <row r="869" spans="1:28" ht="15" hidden="1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</row>
    <row r="870" spans="1:28" ht="15" hidden="1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</row>
    <row r="871" spans="1:28" ht="15" hidden="1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</row>
    <row r="872" spans="1:28" ht="15" hidden="1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</row>
    <row r="873" spans="1:28" ht="15" hidden="1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</row>
    <row r="874" spans="1:28" ht="15" hidden="1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</row>
    <row r="875" spans="1:28" ht="15" hidden="1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</row>
    <row r="876" spans="1:28" ht="15" hidden="1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</row>
    <row r="877" spans="1:28" ht="15" hidden="1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</row>
    <row r="878" spans="1:28" ht="15" hidden="1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</row>
    <row r="879" spans="1:28" ht="15" hidden="1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</row>
    <row r="880" spans="1:28" ht="15" hidden="1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</row>
    <row r="881" spans="1:28" ht="15" hidden="1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</row>
    <row r="882" spans="1:28" ht="15" hidden="1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</row>
    <row r="883" spans="1:28" ht="15" hidden="1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</row>
    <row r="884" spans="1:28" ht="15" hidden="1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</row>
    <row r="885" spans="1:28" ht="15" hidden="1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</row>
    <row r="886" spans="1:28" ht="15" hidden="1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</row>
    <row r="887" spans="1:28" ht="15" hidden="1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</row>
    <row r="888" spans="1:28" ht="15" hidden="1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</row>
    <row r="889" spans="1:28" ht="15" hidden="1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</row>
    <row r="890" spans="1:28" ht="15" hidden="1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</row>
    <row r="891" spans="1:28" ht="15" hidden="1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</row>
    <row r="892" spans="1:28" ht="15" hidden="1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</row>
    <row r="893" spans="1:28" ht="15" hidden="1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</row>
    <row r="894" spans="1:28" ht="15" hidden="1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</row>
    <row r="895" spans="1:28" ht="15" hidden="1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</row>
    <row r="896" spans="1:28" ht="15" hidden="1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</row>
    <row r="897" spans="1:28" ht="15" hidden="1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</row>
    <row r="898" spans="1:28" ht="15" hidden="1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</row>
    <row r="899" spans="1:28" ht="15" hidden="1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</row>
    <row r="900" spans="1:28" ht="15" hidden="1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</row>
    <row r="901" spans="1:28" ht="15" hidden="1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</row>
    <row r="902" spans="1:28" ht="15" hidden="1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</row>
    <row r="903" spans="1:28" ht="15" hidden="1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</row>
    <row r="904" spans="1:28" ht="15" hidden="1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</row>
    <row r="905" spans="1:28" ht="15" hidden="1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</row>
    <row r="906" spans="1:28" ht="15" hidden="1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</row>
    <row r="907" spans="1:28" ht="15" hidden="1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</row>
    <row r="908" spans="1:28" ht="15" hidden="1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</row>
    <row r="909" spans="1:28" ht="15" hidden="1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</row>
    <row r="910" spans="1:28" ht="15" hidden="1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</row>
    <row r="911" spans="1:28" ht="15" hidden="1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</row>
    <row r="912" spans="1:28" ht="15" hidden="1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</row>
    <row r="913" spans="1:28" ht="15" hidden="1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</row>
    <row r="914" spans="1:28" ht="15" hidden="1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</row>
    <row r="915" spans="1:28" ht="15" hidden="1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</row>
    <row r="916" spans="1:28" ht="15" hidden="1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</row>
    <row r="917" spans="1:28" ht="15" hidden="1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</row>
    <row r="918" spans="1:28" ht="15" hidden="1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</row>
    <row r="919" spans="1:28" ht="15" hidden="1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</row>
    <row r="920" spans="1:28" ht="15" hidden="1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</row>
    <row r="921" spans="1:28" ht="15" hidden="1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</row>
    <row r="922" spans="1:28" ht="15" hidden="1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</row>
    <row r="923" spans="1:28" ht="15" hidden="1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</row>
    <row r="924" spans="1:28" ht="15" hidden="1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</row>
    <row r="925" spans="1:28" ht="15" hidden="1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</row>
    <row r="926" spans="1:28" ht="15" hidden="1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</row>
    <row r="927" spans="1:28" ht="15" hidden="1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</row>
    <row r="928" spans="1:28" ht="15" hidden="1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</row>
    <row r="929" spans="1:28" ht="15" hidden="1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</row>
    <row r="930" spans="1:28" ht="15" hidden="1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</row>
    <row r="931" spans="1:28" ht="15" hidden="1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</row>
    <row r="932" spans="1:28" ht="15" hidden="1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</row>
    <row r="933" spans="1:28" ht="15" hidden="1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</row>
    <row r="934" spans="1:28" ht="15" hidden="1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</row>
    <row r="935" spans="1:28" ht="15" hidden="1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</row>
    <row r="936" spans="1:28" ht="15" hidden="1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</row>
    <row r="937" spans="1:28" ht="15" hidden="1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</row>
    <row r="938" spans="1:28" ht="15" hidden="1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</row>
    <row r="939" spans="1:28" ht="15" hidden="1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</row>
    <row r="940" spans="1:28" ht="15" hidden="1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</row>
    <row r="941" spans="1:28" ht="15" hidden="1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</row>
    <row r="942" spans="1:28" ht="15" hidden="1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</row>
    <row r="943" spans="1:28" ht="15" hidden="1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</row>
    <row r="944" spans="1:28" ht="15" hidden="1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</row>
    <row r="945" spans="1:28" ht="15" hidden="1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</row>
    <row r="946" spans="1:28" ht="15" hidden="1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</row>
    <row r="947" spans="1:28" ht="15" hidden="1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</row>
    <row r="948" spans="1:28" ht="15" hidden="1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</row>
    <row r="949" spans="1:28" ht="15" hidden="1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</row>
    <row r="950" spans="1:28" ht="15" hidden="1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</row>
    <row r="951" spans="1:28" ht="15" hidden="1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</row>
    <row r="952" spans="1:28" ht="15" hidden="1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</row>
    <row r="953" spans="1:28" ht="15" hidden="1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</row>
    <row r="954" spans="1:28" ht="15" hidden="1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</row>
    <row r="955" spans="1:28" ht="15" hidden="1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</row>
    <row r="956" spans="1:28" ht="15" hidden="1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</row>
    <row r="957" spans="1:28" ht="15" hidden="1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</row>
    <row r="958" spans="1:28" ht="15" hidden="1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</row>
    <row r="959" spans="1:28" ht="15" hidden="1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</row>
    <row r="960" spans="1:28" ht="15" hidden="1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</row>
    <row r="961" spans="1:28" ht="15" hidden="1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</row>
    <row r="962" spans="1:28" ht="15" hidden="1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</row>
    <row r="963" spans="1:28" ht="15" hidden="1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</row>
    <row r="964" spans="1:28" ht="15" hidden="1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</row>
    <row r="965" spans="1:28" ht="15" hidden="1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</row>
    <row r="966" spans="1:28" ht="15" hidden="1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</row>
    <row r="967" spans="1:28" ht="15" hidden="1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</row>
    <row r="968" spans="1:28" ht="15" hidden="1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</row>
    <row r="969" spans="1:28" ht="15" hidden="1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</row>
    <row r="970" spans="1:28" ht="15" hidden="1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</row>
    <row r="971" spans="1:28" ht="15" hidden="1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</row>
    <row r="972" spans="1:28" ht="15" hidden="1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</row>
    <row r="973" spans="1:28" ht="15" hidden="1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</row>
    <row r="974" spans="1:28" ht="15" hidden="1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</row>
    <row r="975" spans="1:28" ht="15" hidden="1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</row>
    <row r="976" spans="1:28" ht="15" hidden="1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</row>
    <row r="977" spans="1:28" ht="15" hidden="1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</row>
    <row r="978" spans="1:28" ht="15" hidden="1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</row>
    <row r="979" spans="1:28" ht="15" hidden="1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</row>
    <row r="980" spans="1:28" ht="15" hidden="1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</row>
    <row r="981" spans="1:28" ht="15" hidden="1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</row>
    <row r="982" spans="1:28" ht="15" hidden="1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</row>
    <row r="983" spans="1:28" ht="15" hidden="1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</row>
    <row r="984" spans="1:28" ht="15" hidden="1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</row>
    <row r="985" spans="1:28" ht="15" hidden="1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</row>
    <row r="986" spans="1:28" ht="15" hidden="1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</row>
    <row r="987" spans="1:28" ht="15" hidden="1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</row>
    <row r="988" spans="1:28" ht="15" hidden="1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</row>
    <row r="989" spans="1:28" ht="15" hidden="1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</row>
    <row r="990" spans="1:28" ht="15" hidden="1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</row>
    <row r="991" spans="1:28" ht="15" hidden="1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</row>
    <row r="992" spans="1:28" ht="15" hidden="1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</row>
    <row r="993" spans="1:28" ht="15" hidden="1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</row>
    <row r="994" spans="1:28" ht="15" hidden="1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</row>
    <row r="995" spans="1:28" ht="15" hidden="1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</row>
    <row r="996" spans="1:28" ht="15" hidden="1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="110" zoomScaleNormal="110" workbookViewId="0">
      <pane ySplit="2" topLeftCell="A6" activePane="bottomLeft" state="frozen"/>
      <selection pane="bottomLeft" activeCell="I10" sqref="I10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6384" width="9.140625" hidden="1"/>
  </cols>
  <sheetData>
    <row r="1" spans="1:21" ht="37.5" customHeight="1">
      <c r="A1" s="271" t="s">
        <v>811</v>
      </c>
      <c r="B1" s="271"/>
      <c r="C1" s="271"/>
      <c r="D1" s="271"/>
      <c r="E1" s="203" t="str">
        <f>IF('Opći dio'!C3="odaberite -","Molimo odaberite proračunskog korisnika na radnom listu Opći podaci!","")</f>
        <v/>
      </c>
    </row>
    <row r="2" spans="1:21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49" t="s">
        <v>843</v>
      </c>
      <c r="F2" s="68" t="s">
        <v>844</v>
      </c>
      <c r="G2" s="205" t="s">
        <v>836</v>
      </c>
      <c r="H2" s="205" t="s">
        <v>837</v>
      </c>
      <c r="I2" s="205" t="s">
        <v>838</v>
      </c>
      <c r="K2" s="145" t="s">
        <v>812</v>
      </c>
      <c r="L2" s="145" t="s">
        <v>813</v>
      </c>
      <c r="Q2" s="62" t="s">
        <v>829</v>
      </c>
    </row>
    <row r="3" spans="1:21">
      <c r="A3" s="140" t="str">
        <f>IF(E3="","",VLOOKUP('Opći dio'!$C$3,'Opći dio'!$L$6:$U$136,10,FALSE))</f>
        <v>08091</v>
      </c>
      <c r="B3" s="140" t="str">
        <f>IF(E3="","",VLOOKUP('Opći dio'!$C$3,'Opći dio'!$L$6:$U$136,9,FALSE))</f>
        <v>Agencije</v>
      </c>
      <c r="C3" s="200">
        <f>IFERROR(VLOOKUP(E3,$Q$6:$T$90,3,FALSE),"")</f>
        <v>12</v>
      </c>
      <c r="D3" s="139" t="str">
        <f>IFERROR(VLOOKUP(E3,$Q$6:$T$90,4,FALSE),"")</f>
        <v>Sredstva učešća za pomoći</v>
      </c>
      <c r="E3" s="151" t="s">
        <v>830</v>
      </c>
      <c r="F3" s="204" t="str">
        <f>IFERROR(VLOOKUP(E3,$Q$6:$T$90,2,FALSE),"")</f>
        <v>Prihodi iz nadležnog proračuna za financiranje redovne djelatnosti proračunskih korisnika</v>
      </c>
      <c r="G3" s="196">
        <v>4900830</v>
      </c>
      <c r="H3" s="196">
        <v>4998847</v>
      </c>
      <c r="I3" s="196">
        <v>5037338</v>
      </c>
      <c r="K3" s="142" t="str">
        <f>LEFT(E3,3)</f>
        <v>671</v>
      </c>
      <c r="L3" s="142" t="str">
        <f>LEFT(E3,2)</f>
        <v>67</v>
      </c>
      <c r="M3" t="s">
        <v>393</v>
      </c>
      <c r="Q3" s="62" t="s">
        <v>830</v>
      </c>
    </row>
    <row r="4" spans="1:21">
      <c r="A4" s="140" t="str">
        <f>IF(E4="","",VLOOKUP('Opći dio'!$C$3,'Opći dio'!$L$6:$U$136,10,FALSE))</f>
        <v>08091</v>
      </c>
      <c r="B4" s="140" t="str">
        <f>IF(E4="","",VLOOKUP('Opći dio'!$C$3,'Opći dio'!$L$6:$U$136,9,FALSE))</f>
        <v>Agencije</v>
      </c>
      <c r="C4" s="200">
        <f t="shared" ref="C4:C67" si="0">IFERROR(VLOOKUP(E4,$Q$6:$T$90,3,FALSE),"")</f>
        <v>11</v>
      </c>
      <c r="D4" s="139" t="str">
        <f t="shared" ref="D4:D67" si="1">IFERROR(VLOOKUP(E4,$Q$6:$T$90,4,FALSE),"")</f>
        <v>Opći prihodi i primici</v>
      </c>
      <c r="E4" s="151" t="s">
        <v>829</v>
      </c>
      <c r="F4" s="204" t="str">
        <f t="shared" ref="F4:F67" si="2">IFERROR(VLOOKUP(E4,$Q$6:$T$90,2,FALSE),"")</f>
        <v>Prihodi iz nadležnog proračuna za financiranje redovne djelatnosti proračunskih korisnika</v>
      </c>
      <c r="G4" s="196">
        <v>6607600</v>
      </c>
      <c r="H4" s="196">
        <v>7400000</v>
      </c>
      <c r="I4" s="196">
        <v>7770000</v>
      </c>
      <c r="K4" s="142" t="str">
        <f t="shared" ref="K4:K67" si="3">LEFT(E4,3)</f>
        <v>671</v>
      </c>
      <c r="L4" s="142" t="str">
        <f t="shared" ref="L4:L67" si="4">LEFT(E4,2)</f>
        <v>67</v>
      </c>
    </row>
    <row r="5" spans="1:21">
      <c r="A5" s="140" t="str">
        <f>IF(E5="","",VLOOKUP('Opći dio'!$C$3,'Opći dio'!$L$6:$U$136,10,FALSE))</f>
        <v>08091</v>
      </c>
      <c r="B5" s="140" t="str">
        <f>IF(E5="","",VLOOKUP('Opći dio'!$C$3,'Opći dio'!$L$6:$U$136,9,FALSE))</f>
        <v>Agencije</v>
      </c>
      <c r="C5" s="200">
        <f t="shared" si="0"/>
        <v>561</v>
      </c>
      <c r="D5" s="139" t="str">
        <f t="shared" si="1"/>
        <v>Europski socijalni fond (ESF)</v>
      </c>
      <c r="E5" s="151">
        <v>632310561</v>
      </c>
      <c r="F5" s="204" t="str">
        <f t="shared" si="2"/>
        <v>Tekuće pomoći od institucija i tijela EU - ESF</v>
      </c>
      <c r="G5" s="196">
        <v>27771387</v>
      </c>
      <c r="H5" s="196">
        <v>28326815</v>
      </c>
      <c r="I5" s="196">
        <v>28544932</v>
      </c>
      <c r="K5" s="142" t="str">
        <f t="shared" si="3"/>
        <v>632</v>
      </c>
      <c r="L5" s="142" t="str">
        <f t="shared" si="4"/>
        <v>63</v>
      </c>
      <c r="M5" s="142" t="s">
        <v>57</v>
      </c>
      <c r="N5" s="142" t="s">
        <v>58</v>
      </c>
      <c r="Q5" s="69" t="s">
        <v>814</v>
      </c>
      <c r="R5" s="68" t="s">
        <v>831</v>
      </c>
      <c r="S5" s="68" t="s">
        <v>832</v>
      </c>
      <c r="T5" s="68" t="s">
        <v>58</v>
      </c>
      <c r="U5" s="150" t="s">
        <v>833</v>
      </c>
    </row>
    <row r="6" spans="1:21">
      <c r="A6" s="140" t="str">
        <f>IF(E6="","",VLOOKUP('Opći dio'!$C$3,'Opći dio'!$L$6:$U$136,10,FALSE))</f>
        <v>08091</v>
      </c>
      <c r="B6" s="140" t="str">
        <f>IF(E6="","",VLOOKUP('Opći dio'!$C$3,'Opći dio'!$L$6:$U$136,9,FALSE))</f>
        <v>Agencije</v>
      </c>
      <c r="C6" s="200">
        <f t="shared" si="0"/>
        <v>52</v>
      </c>
      <c r="D6" s="139" t="str">
        <f t="shared" si="1"/>
        <v>Ostale pomoći</v>
      </c>
      <c r="E6" s="151">
        <v>6391</v>
      </c>
      <c r="F6" s="204" t="str">
        <f t="shared" si="2"/>
        <v>Tekući prijenosi između proračunskih korisnika istog proračuna</v>
      </c>
      <c r="G6" s="196">
        <v>3544361</v>
      </c>
      <c r="H6" s="196">
        <v>20313</v>
      </c>
      <c r="I6" s="196"/>
      <c r="K6" s="142" t="str">
        <f t="shared" si="3"/>
        <v>639</v>
      </c>
      <c r="L6" s="142" t="str">
        <f t="shared" si="4"/>
        <v>63</v>
      </c>
      <c r="M6" s="142">
        <v>11</v>
      </c>
      <c r="N6" s="142" t="s">
        <v>65</v>
      </c>
      <c r="Q6" s="198" t="s">
        <v>829</v>
      </c>
      <c r="R6" s="7" t="s">
        <v>282</v>
      </c>
      <c r="S6" s="62">
        <v>11</v>
      </c>
      <c r="T6" s="62" t="s">
        <v>65</v>
      </c>
      <c r="U6" t="str">
        <f>LEFT(Q70,3)</f>
        <v>681</v>
      </c>
    </row>
    <row r="7" spans="1:21">
      <c r="A7" s="140" t="str">
        <f>IF(E7="","",VLOOKUP('Opći dio'!$C$3,'Opći dio'!$L$6:$U$136,10,FALSE))</f>
        <v>08091</v>
      </c>
      <c r="B7" s="140" t="str">
        <f>IF(E7="","",VLOOKUP('Opći dio'!$C$3,'Opći dio'!$L$6:$U$136,9,FALSE))</f>
        <v>Agencije</v>
      </c>
      <c r="C7" s="200">
        <f t="shared" si="0"/>
        <v>11</v>
      </c>
      <c r="D7" s="139" t="str">
        <f t="shared" si="1"/>
        <v>Opći prihodi i primici</v>
      </c>
      <c r="E7" s="151" t="s">
        <v>829</v>
      </c>
      <c r="F7" s="204" t="str">
        <f t="shared" si="2"/>
        <v>Prihodi iz nadležnog proračuna za financiranje redovne djelatnosti proračunskih korisnika</v>
      </c>
      <c r="G7" s="196">
        <v>85060300</v>
      </c>
      <c r="H7" s="196">
        <v>57075723</v>
      </c>
      <c r="I7" s="196">
        <v>57174270</v>
      </c>
      <c r="K7" s="142" t="str">
        <f t="shared" si="3"/>
        <v>671</v>
      </c>
      <c r="L7" s="142" t="str">
        <f t="shared" si="4"/>
        <v>67</v>
      </c>
      <c r="M7" s="142">
        <v>12</v>
      </c>
      <c r="N7" s="142" t="s">
        <v>285</v>
      </c>
      <c r="Q7" s="198" t="s">
        <v>830</v>
      </c>
      <c r="R7" s="7" t="s">
        <v>282</v>
      </c>
      <c r="S7" s="62">
        <v>12</v>
      </c>
      <c r="T7" s="62" t="s">
        <v>285</v>
      </c>
      <c r="U7" t="str">
        <f>LEFT(Q71,3)</f>
        <v>683</v>
      </c>
    </row>
    <row r="8" spans="1:21">
      <c r="A8" s="140" t="str">
        <f>IF(E8="","",VLOOKUP('Opći dio'!$C$3,'Opći dio'!$L$6:$U$136,10,FALSE))</f>
        <v>08091</v>
      </c>
      <c r="B8" s="140" t="str">
        <f>IF(E8="","",VLOOKUP('Opći dio'!$C$3,'Opći dio'!$L$6:$U$136,9,FALSE))</f>
        <v>Agencije</v>
      </c>
      <c r="C8" s="200">
        <f t="shared" si="0"/>
        <v>31</v>
      </c>
      <c r="D8" s="139" t="str">
        <f t="shared" si="1"/>
        <v>Vlastiti prihodi</v>
      </c>
      <c r="E8" s="151">
        <v>6614</v>
      </c>
      <c r="F8" s="204" t="str">
        <f t="shared" si="2"/>
        <v>Prihodi od prodaje proizvoda i robe</v>
      </c>
      <c r="G8" s="196">
        <v>50000</v>
      </c>
      <c r="H8" s="196">
        <v>50000</v>
      </c>
      <c r="I8" s="196">
        <v>50000</v>
      </c>
      <c r="K8" s="142" t="str">
        <f t="shared" si="3"/>
        <v>661</v>
      </c>
      <c r="L8" s="142" t="str">
        <f t="shared" si="4"/>
        <v>66</v>
      </c>
      <c r="M8" s="142">
        <v>31</v>
      </c>
      <c r="N8" s="142" t="s">
        <v>110</v>
      </c>
      <c r="Q8" s="197">
        <v>636</v>
      </c>
      <c r="R8" s="197" t="s">
        <v>816</v>
      </c>
      <c r="S8" s="6">
        <v>52</v>
      </c>
      <c r="T8" s="6" t="s">
        <v>128</v>
      </c>
      <c r="U8" t="str">
        <f t="shared" ref="U8:U25" si="5">LEFT(Q8,3)</f>
        <v>636</v>
      </c>
    </row>
    <row r="9" spans="1:21">
      <c r="A9" s="140" t="str">
        <f>IF(E9="","",VLOOKUP('Opći dio'!$C$3,'Opći dio'!$L$6:$U$136,10,FALSE))</f>
        <v>08091</v>
      </c>
      <c r="B9" s="140" t="str">
        <f>IF(E9="","",VLOOKUP('Opći dio'!$C$3,'Opći dio'!$L$6:$U$136,9,FALSE))</f>
        <v>Agencije</v>
      </c>
      <c r="C9" s="200">
        <f t="shared" si="0"/>
        <v>31</v>
      </c>
      <c r="D9" s="139" t="str">
        <f t="shared" si="1"/>
        <v>Vlastiti prihodi</v>
      </c>
      <c r="E9" s="151">
        <v>6615</v>
      </c>
      <c r="F9" s="204" t="str">
        <f t="shared" si="2"/>
        <v>Prihodi od pruženih usluga</v>
      </c>
      <c r="G9" s="196">
        <v>3038000</v>
      </c>
      <c r="H9" s="196">
        <f>3038000-20000+5000</f>
        <v>3023000</v>
      </c>
      <c r="I9" s="196">
        <f>3038000-20000+5000</f>
        <v>3023000</v>
      </c>
      <c r="K9" s="142" t="str">
        <f t="shared" si="3"/>
        <v>661</v>
      </c>
      <c r="L9" s="142" t="str">
        <f t="shared" si="4"/>
        <v>66</v>
      </c>
      <c r="M9">
        <v>41</v>
      </c>
      <c r="N9" t="s">
        <v>1643</v>
      </c>
      <c r="Q9" s="197">
        <v>651</v>
      </c>
      <c r="R9" s="197" t="s">
        <v>817</v>
      </c>
      <c r="S9" s="6">
        <v>43</v>
      </c>
      <c r="T9" s="6" t="s">
        <v>115</v>
      </c>
      <c r="U9" t="str">
        <f t="shared" si="5"/>
        <v>651</v>
      </c>
    </row>
    <row r="10" spans="1:21">
      <c r="A10" s="140" t="str">
        <f>IF(E10="","",VLOOKUP('Opći dio'!$C$3,'Opći dio'!$L$6:$U$136,10,FALSE))</f>
        <v>08091</v>
      </c>
      <c r="B10" s="140" t="str">
        <f>IF(E10="","",VLOOKUP('Opći dio'!$C$3,'Opći dio'!$L$6:$U$136,9,FALSE))</f>
        <v>Agencije</v>
      </c>
      <c r="C10" s="200">
        <f t="shared" si="0"/>
        <v>43</v>
      </c>
      <c r="D10" s="139" t="str">
        <f t="shared" si="1"/>
        <v>Ostali prihodi za posebne namjene</v>
      </c>
      <c r="E10" s="151">
        <v>65264</v>
      </c>
      <c r="F10" s="204" t="str">
        <f t="shared" si="2"/>
        <v>Sufinanciranje cijene usluge, participacije i slično</v>
      </c>
      <c r="G10" s="196">
        <v>1170000</v>
      </c>
      <c r="H10" s="196">
        <v>1170000</v>
      </c>
      <c r="I10" s="196">
        <v>1170000</v>
      </c>
      <c r="K10" s="142" t="str">
        <f t="shared" si="3"/>
        <v>652</v>
      </c>
      <c r="L10" s="142" t="str">
        <f t="shared" si="4"/>
        <v>65</v>
      </c>
      <c r="M10" s="142">
        <v>43</v>
      </c>
      <c r="N10" s="142" t="s">
        <v>115</v>
      </c>
      <c r="Q10" s="6">
        <v>6341</v>
      </c>
      <c r="R10" s="6" t="s">
        <v>266</v>
      </c>
      <c r="S10" s="6">
        <v>52</v>
      </c>
      <c r="T10" s="6" t="s">
        <v>128</v>
      </c>
      <c r="U10" t="str">
        <f t="shared" si="5"/>
        <v>634</v>
      </c>
    </row>
    <row r="11" spans="1:21">
      <c r="A11" s="140" t="str">
        <f>IF(E11="","",VLOOKUP('Opći dio'!$C$3,'Opći dio'!$L$6:$U$136,10,FALSE))</f>
        <v>08091</v>
      </c>
      <c r="B11" s="140" t="str">
        <f>IF(E11="","",VLOOKUP('Opći dio'!$C$3,'Opći dio'!$L$6:$U$136,9,FALSE))</f>
        <v>Agencije</v>
      </c>
      <c r="C11" s="200">
        <f t="shared" si="0"/>
        <v>61</v>
      </c>
      <c r="D11" s="139" t="str">
        <f t="shared" si="1"/>
        <v>Donacije</v>
      </c>
      <c r="E11" s="151">
        <v>663240000</v>
      </c>
      <c r="F11" s="204" t="str">
        <f t="shared" si="2"/>
        <v>Kapitalne donacije od ostalih subjekata izvan opće države</v>
      </c>
      <c r="G11" s="196">
        <v>5000000</v>
      </c>
      <c r="H11" s="196">
        <v>5000000</v>
      </c>
      <c r="I11" s="196">
        <v>5000000</v>
      </c>
      <c r="K11" s="142" t="str">
        <f t="shared" si="3"/>
        <v>663</v>
      </c>
      <c r="L11" s="142" t="str">
        <f t="shared" si="4"/>
        <v>66</v>
      </c>
      <c r="M11" s="142">
        <v>51</v>
      </c>
      <c r="N11" s="142" t="s">
        <v>105</v>
      </c>
      <c r="Q11" s="6">
        <v>6342</v>
      </c>
      <c r="R11" s="6" t="s">
        <v>267</v>
      </c>
      <c r="S11" s="6">
        <v>52</v>
      </c>
      <c r="T11" s="6" t="s">
        <v>128</v>
      </c>
      <c r="U11" t="str">
        <f t="shared" si="5"/>
        <v>634</v>
      </c>
    </row>
    <row r="12" spans="1:21">
      <c r="A12" s="140" t="str">
        <f>IF(E12="","",VLOOKUP('Opći dio'!$C$3,'Opći dio'!$L$6:$U$136,10,FALSE))</f>
        <v>08091</v>
      </c>
      <c r="B12" s="140" t="str">
        <f>IF(E12="","",VLOOKUP('Opći dio'!$C$3,'Opći dio'!$L$6:$U$136,9,FALSE))</f>
        <v>Agencije</v>
      </c>
      <c r="C12" s="200">
        <f t="shared" si="0"/>
        <v>71</v>
      </c>
      <c r="D12" s="139" t="str">
        <f t="shared" si="1"/>
        <v>Prihodi od nefin. imovine i nadoknade štete s osnova osig.</v>
      </c>
      <c r="E12" s="151">
        <v>721190071</v>
      </c>
      <c r="F12" s="204" t="str">
        <f t="shared" si="2"/>
        <v>Ostali stambeni objekti izvor 71</v>
      </c>
      <c r="G12" s="196">
        <v>1000</v>
      </c>
      <c r="H12" s="196">
        <v>1000</v>
      </c>
      <c r="I12" s="196">
        <v>1000</v>
      </c>
      <c r="K12" s="142" t="str">
        <f t="shared" si="3"/>
        <v>721</v>
      </c>
      <c r="L12" s="142" t="str">
        <f t="shared" si="4"/>
        <v>72</v>
      </c>
      <c r="M12" s="142">
        <v>52</v>
      </c>
      <c r="N12" s="142" t="s">
        <v>128</v>
      </c>
      <c r="Q12" s="6">
        <v>6361</v>
      </c>
      <c r="R12" s="6" t="s">
        <v>31</v>
      </c>
      <c r="S12" s="6">
        <v>52</v>
      </c>
      <c r="T12" s="6" t="s">
        <v>128</v>
      </c>
      <c r="U12" t="str">
        <f t="shared" si="5"/>
        <v>636</v>
      </c>
    </row>
    <row r="13" spans="1:21">
      <c r="A13" s="140" t="str">
        <f>IF(E13="","",VLOOKUP('Opći dio'!$C$3,'Opći dio'!$L$6:$U$136,10,FALSE))</f>
        <v/>
      </c>
      <c r="B13" s="140" t="str">
        <f>IF(E13="","",VLOOKUP('Opći dio'!$C$3,'Opći dio'!$L$6:$U$136,9,FALSE))</f>
        <v/>
      </c>
      <c r="C13" s="200" t="str">
        <f t="shared" si="0"/>
        <v/>
      </c>
      <c r="D13" s="139" t="str">
        <f t="shared" si="1"/>
        <v/>
      </c>
      <c r="E13" s="151"/>
      <c r="F13" s="204" t="str">
        <f t="shared" si="2"/>
        <v/>
      </c>
      <c r="G13" s="196"/>
      <c r="H13" s="196"/>
      <c r="I13" s="196"/>
      <c r="K13" s="142" t="str">
        <f t="shared" si="3"/>
        <v/>
      </c>
      <c r="L13" s="142" t="str">
        <f t="shared" si="4"/>
        <v/>
      </c>
      <c r="M13">
        <v>552</v>
      </c>
      <c r="N13" t="s">
        <v>1644</v>
      </c>
      <c r="Q13" s="6">
        <v>6362</v>
      </c>
      <c r="R13" s="6" t="s">
        <v>32</v>
      </c>
      <c r="S13" s="6">
        <v>52</v>
      </c>
      <c r="T13" s="6" t="s">
        <v>128</v>
      </c>
      <c r="U13" t="str">
        <f t="shared" si="5"/>
        <v>636</v>
      </c>
    </row>
    <row r="14" spans="1:21">
      <c r="A14" s="140" t="str">
        <f>IF(E14="","",VLOOKUP('Opći dio'!$C$3,'Opći dio'!$L$6:$U$136,10,FALSE))</f>
        <v/>
      </c>
      <c r="B14" s="140" t="str">
        <f>IF(E14="","",VLOOKUP('Opći dio'!$C$3,'Opći dio'!$L$6:$U$136,9,FALSE))</f>
        <v/>
      </c>
      <c r="C14" s="200" t="str">
        <f t="shared" si="0"/>
        <v/>
      </c>
      <c r="D14" s="139" t="str">
        <f t="shared" si="1"/>
        <v/>
      </c>
      <c r="E14" s="151"/>
      <c r="F14" s="204" t="str">
        <f t="shared" si="2"/>
        <v/>
      </c>
      <c r="G14" s="196"/>
      <c r="H14" s="196"/>
      <c r="I14" s="196"/>
      <c r="K14" s="142" t="str">
        <f t="shared" si="3"/>
        <v/>
      </c>
      <c r="L14" s="142" t="str">
        <f t="shared" si="4"/>
        <v/>
      </c>
      <c r="M14">
        <v>559</v>
      </c>
      <c r="N14" t="s">
        <v>1645</v>
      </c>
      <c r="Q14" s="208">
        <v>6381</v>
      </c>
      <c r="R14" s="208" t="s">
        <v>33</v>
      </c>
      <c r="S14" s="208">
        <v>52</v>
      </c>
      <c r="T14" s="208" t="s">
        <v>128</v>
      </c>
      <c r="U14" s="209" t="str">
        <f t="shared" si="5"/>
        <v>638</v>
      </c>
    </row>
    <row r="15" spans="1:21">
      <c r="A15" s="140" t="str">
        <f>IF(E15="","",VLOOKUP('Opći dio'!$C$3,'Opći dio'!$L$6:$U$136,10,FALSE))</f>
        <v/>
      </c>
      <c r="B15" s="140" t="str">
        <f>IF(E15="","",VLOOKUP('Opći dio'!$C$3,'Opći dio'!$L$6:$U$136,9,FALSE))</f>
        <v/>
      </c>
      <c r="C15" s="200" t="str">
        <f t="shared" si="0"/>
        <v/>
      </c>
      <c r="D15" s="139" t="str">
        <f t="shared" si="1"/>
        <v/>
      </c>
      <c r="E15" s="151"/>
      <c r="F15" s="204" t="str">
        <f t="shared" si="2"/>
        <v/>
      </c>
      <c r="G15" s="196"/>
      <c r="H15" s="196"/>
      <c r="I15" s="196"/>
      <c r="K15" s="142" t="str">
        <f t="shared" si="3"/>
        <v/>
      </c>
      <c r="L15" s="142" t="str">
        <f t="shared" si="4"/>
        <v/>
      </c>
      <c r="M15" s="142">
        <v>561</v>
      </c>
      <c r="N15" s="142" t="s">
        <v>130</v>
      </c>
      <c r="Q15" s="208">
        <v>6382</v>
      </c>
      <c r="R15" s="208" t="s">
        <v>842</v>
      </c>
      <c r="S15" s="208">
        <v>52</v>
      </c>
      <c r="T15" s="208" t="s">
        <v>128</v>
      </c>
      <c r="U15" s="209" t="str">
        <f t="shared" si="5"/>
        <v>638</v>
      </c>
    </row>
    <row r="16" spans="1:21">
      <c r="A16" s="140" t="str">
        <f>IF(E16="","",VLOOKUP('Opći dio'!$C$3,'Opći dio'!$L$6:$U$136,10,FALSE))</f>
        <v/>
      </c>
      <c r="B16" s="140" t="str">
        <f>IF(E16="","",VLOOKUP('Opći dio'!$C$3,'Opći dio'!$L$6:$U$136,9,FALSE))</f>
        <v/>
      </c>
      <c r="C16" s="200" t="str">
        <f t="shared" si="0"/>
        <v/>
      </c>
      <c r="D16" s="139" t="str">
        <f t="shared" si="1"/>
        <v/>
      </c>
      <c r="E16" s="151"/>
      <c r="F16" s="204" t="str">
        <f t="shared" si="2"/>
        <v/>
      </c>
      <c r="G16" s="196"/>
      <c r="H16" s="196"/>
      <c r="I16" s="196"/>
      <c r="K16" s="142" t="str">
        <f t="shared" si="3"/>
        <v/>
      </c>
      <c r="L16" s="142" t="str">
        <f t="shared" si="4"/>
        <v/>
      </c>
      <c r="M16" s="142">
        <v>563</v>
      </c>
      <c r="N16" s="142" t="s">
        <v>132</v>
      </c>
      <c r="Q16" s="6">
        <v>6391</v>
      </c>
      <c r="R16" s="6" t="s">
        <v>35</v>
      </c>
      <c r="S16" s="6">
        <v>52</v>
      </c>
      <c r="T16" s="6" t="s">
        <v>128</v>
      </c>
      <c r="U16" t="str">
        <f t="shared" si="5"/>
        <v>639</v>
      </c>
    </row>
    <row r="17" spans="1:21">
      <c r="A17" s="140" t="str">
        <f>IF(E17="","",VLOOKUP('Opći dio'!$C$3,'Opći dio'!$L$6:$U$136,10,FALSE))</f>
        <v/>
      </c>
      <c r="B17" s="140" t="str">
        <f>IF(E17="","",VLOOKUP('Opći dio'!$C$3,'Opći dio'!$L$6:$U$136,9,FALSE))</f>
        <v/>
      </c>
      <c r="C17" s="200" t="str">
        <f t="shared" si="0"/>
        <v/>
      </c>
      <c r="D17" s="139" t="str">
        <f t="shared" si="1"/>
        <v/>
      </c>
      <c r="E17" s="151"/>
      <c r="F17" s="204" t="str">
        <f t="shared" si="2"/>
        <v/>
      </c>
      <c r="G17" s="196"/>
      <c r="H17" s="196"/>
      <c r="I17" s="196"/>
      <c r="K17" s="142" t="str">
        <f t="shared" si="3"/>
        <v/>
      </c>
      <c r="L17" s="142" t="str">
        <f t="shared" si="4"/>
        <v/>
      </c>
      <c r="M17" s="142">
        <v>573</v>
      </c>
      <c r="N17" t="s">
        <v>1656</v>
      </c>
      <c r="Q17" s="6">
        <v>6392</v>
      </c>
      <c r="R17" s="6" t="s">
        <v>36</v>
      </c>
      <c r="S17" s="6">
        <v>52</v>
      </c>
      <c r="T17" s="6" t="s">
        <v>128</v>
      </c>
      <c r="U17" t="str">
        <f t="shared" si="5"/>
        <v>639</v>
      </c>
    </row>
    <row r="18" spans="1:21">
      <c r="A18" s="140" t="str">
        <f>IF(E18="","",VLOOKUP('Opći dio'!$C$3,'Opći dio'!$L$6:$U$136,10,FALSE))</f>
        <v/>
      </c>
      <c r="B18" s="140" t="str">
        <f>IF(E18="","",VLOOKUP('Opći dio'!$C$3,'Opći dio'!$L$6:$U$136,9,FALSE))</f>
        <v/>
      </c>
      <c r="C18" s="200" t="str">
        <f t="shared" si="0"/>
        <v/>
      </c>
      <c r="D18" s="139" t="str">
        <f t="shared" si="1"/>
        <v/>
      </c>
      <c r="E18" s="151"/>
      <c r="F18" s="204" t="str">
        <f t="shared" si="2"/>
        <v/>
      </c>
      <c r="G18" s="196"/>
      <c r="H18" s="196"/>
      <c r="I18" s="196"/>
      <c r="K18" s="142" t="str">
        <f t="shared" si="3"/>
        <v/>
      </c>
      <c r="L18" s="142" t="str">
        <f t="shared" si="4"/>
        <v/>
      </c>
      <c r="M18">
        <v>575</v>
      </c>
      <c r="N18" t="s">
        <v>1658</v>
      </c>
      <c r="Q18" s="6">
        <v>6393</v>
      </c>
      <c r="R18" s="6" t="s">
        <v>37</v>
      </c>
      <c r="S18" s="6">
        <v>52</v>
      </c>
      <c r="T18" s="6" t="s">
        <v>128</v>
      </c>
      <c r="U18" t="str">
        <f t="shared" si="5"/>
        <v>639</v>
      </c>
    </row>
    <row r="19" spans="1:21">
      <c r="A19" s="140" t="str">
        <f>IF(E19="","",VLOOKUP('Opći dio'!$C$3,'Opći dio'!$L$6:$U$136,10,FALSE))</f>
        <v/>
      </c>
      <c r="B19" s="140" t="str">
        <f>IF(E19="","",VLOOKUP('Opći dio'!$C$3,'Opći dio'!$L$6:$U$136,9,FALSE))</f>
        <v/>
      </c>
      <c r="C19" s="200" t="str">
        <f t="shared" si="0"/>
        <v/>
      </c>
      <c r="D19" s="139" t="str">
        <f t="shared" si="1"/>
        <v/>
      </c>
      <c r="E19" s="151"/>
      <c r="F19" s="204" t="str">
        <f t="shared" si="2"/>
        <v/>
      </c>
      <c r="G19" s="196"/>
      <c r="H19" s="196"/>
      <c r="I19" s="196"/>
      <c r="K19" s="142" t="str">
        <f t="shared" si="3"/>
        <v/>
      </c>
      <c r="L19" s="142" t="str">
        <f t="shared" si="4"/>
        <v/>
      </c>
      <c r="M19" s="142">
        <v>61</v>
      </c>
      <c r="N19" s="142" t="s">
        <v>134</v>
      </c>
      <c r="Q19" s="6">
        <v>6394</v>
      </c>
      <c r="R19" s="6" t="s">
        <v>38</v>
      </c>
      <c r="S19" s="6">
        <v>52</v>
      </c>
      <c r="T19" s="6" t="s">
        <v>128</v>
      </c>
      <c r="U19" t="str">
        <f t="shared" si="5"/>
        <v>639</v>
      </c>
    </row>
    <row r="20" spans="1:21">
      <c r="A20" s="140" t="str">
        <f>IF(E20="","",VLOOKUP('Opći dio'!$C$3,'Opći dio'!$L$6:$U$136,10,FALSE))</f>
        <v/>
      </c>
      <c r="B20" s="140" t="str">
        <f>IF(E20="","",VLOOKUP('Opći dio'!$C$3,'Opći dio'!$L$6:$U$136,9,FALSE))</f>
        <v/>
      </c>
      <c r="C20" s="200" t="str">
        <f t="shared" si="0"/>
        <v/>
      </c>
      <c r="D20" s="139" t="str">
        <f t="shared" si="1"/>
        <v/>
      </c>
      <c r="E20" s="151"/>
      <c r="F20" s="204" t="str">
        <f t="shared" si="2"/>
        <v/>
      </c>
      <c r="G20" s="196"/>
      <c r="H20" s="196"/>
      <c r="I20" s="196"/>
      <c r="K20" s="142" t="str">
        <f t="shared" si="3"/>
        <v/>
      </c>
      <c r="L20" s="142" t="str">
        <f t="shared" si="4"/>
        <v/>
      </c>
      <c r="M20" s="142">
        <v>71</v>
      </c>
      <c r="N20" s="142" t="s">
        <v>193</v>
      </c>
      <c r="Q20" s="6">
        <v>6614</v>
      </c>
      <c r="R20" s="6" t="s">
        <v>21</v>
      </c>
      <c r="S20" s="6">
        <v>31</v>
      </c>
      <c r="T20" s="6" t="s">
        <v>110</v>
      </c>
      <c r="U20" t="str">
        <f t="shared" si="5"/>
        <v>661</v>
      </c>
    </row>
    <row r="21" spans="1:21">
      <c r="A21" s="140" t="str">
        <f>IF(E21="","",VLOOKUP('Opći dio'!$C$3,'Opći dio'!$L$6:$U$136,10,FALSE))</f>
        <v/>
      </c>
      <c r="B21" s="140" t="str">
        <f>IF(E21="","",VLOOKUP('Opći dio'!$C$3,'Opći dio'!$L$6:$U$136,9,FALSE))</f>
        <v/>
      </c>
      <c r="C21" s="200" t="str">
        <f t="shared" si="0"/>
        <v/>
      </c>
      <c r="D21" s="139" t="str">
        <f t="shared" si="1"/>
        <v/>
      </c>
      <c r="E21" s="151"/>
      <c r="F21" s="204" t="str">
        <f t="shared" si="2"/>
        <v/>
      </c>
      <c r="G21" s="196"/>
      <c r="H21" s="196"/>
      <c r="I21" s="196"/>
      <c r="K21" s="142" t="str">
        <f t="shared" si="3"/>
        <v/>
      </c>
      <c r="L21" s="142" t="str">
        <f t="shared" si="4"/>
        <v/>
      </c>
      <c r="M21" s="142">
        <v>81</v>
      </c>
      <c r="N21" s="142" t="s">
        <v>75</v>
      </c>
      <c r="Q21" s="6">
        <v>6615</v>
      </c>
      <c r="R21" s="6" t="s">
        <v>22</v>
      </c>
      <c r="S21" s="6">
        <v>31</v>
      </c>
      <c r="T21" s="6" t="s">
        <v>110</v>
      </c>
      <c r="U21" t="str">
        <f t="shared" si="5"/>
        <v>661</v>
      </c>
    </row>
    <row r="22" spans="1:21">
      <c r="A22" s="140" t="str">
        <f>IF(E22="","",VLOOKUP('Opći dio'!$C$3,'Opći dio'!$L$6:$U$136,10,FALSE))</f>
        <v/>
      </c>
      <c r="B22" s="140" t="str">
        <f>IF(E22="","",VLOOKUP('Opći dio'!$C$3,'Opći dio'!$L$6:$U$136,9,FALSE))</f>
        <v/>
      </c>
      <c r="C22" s="200" t="str">
        <f t="shared" si="0"/>
        <v/>
      </c>
      <c r="D22" s="139" t="str">
        <f t="shared" si="1"/>
        <v/>
      </c>
      <c r="E22" s="151"/>
      <c r="F22" s="204" t="str">
        <f t="shared" si="2"/>
        <v/>
      </c>
      <c r="G22" s="196"/>
      <c r="H22" s="196"/>
      <c r="I22" s="196"/>
      <c r="K22" s="142" t="str">
        <f t="shared" si="3"/>
        <v/>
      </c>
      <c r="L22" s="142" t="str">
        <f t="shared" si="4"/>
        <v/>
      </c>
      <c r="M22">
        <v>83</v>
      </c>
      <c r="N22" t="s">
        <v>1646</v>
      </c>
      <c r="Q22" s="6">
        <v>65148</v>
      </c>
      <c r="R22" s="6" t="s">
        <v>23</v>
      </c>
      <c r="S22" s="6">
        <v>43</v>
      </c>
      <c r="T22" s="6" t="s">
        <v>115</v>
      </c>
      <c r="U22" t="str">
        <f t="shared" si="5"/>
        <v>651</v>
      </c>
    </row>
    <row r="23" spans="1:21">
      <c r="A23" s="140" t="str">
        <f>IF(E23="","",VLOOKUP('Opći dio'!$C$3,'Opći dio'!$L$6:$U$136,10,FALSE))</f>
        <v/>
      </c>
      <c r="B23" s="140" t="str">
        <f>IF(E23="","",VLOOKUP('Opći dio'!$C$3,'Opći dio'!$L$6:$U$136,9,FALSE))</f>
        <v/>
      </c>
      <c r="C23" s="200" t="str">
        <f t="shared" si="0"/>
        <v/>
      </c>
      <c r="D23" s="139" t="str">
        <f t="shared" si="1"/>
        <v/>
      </c>
      <c r="E23" s="151"/>
      <c r="F23" s="204" t="str">
        <f t="shared" si="2"/>
        <v/>
      </c>
      <c r="G23" s="196"/>
      <c r="H23" s="196"/>
      <c r="I23" s="196"/>
      <c r="K23" s="142" t="str">
        <f t="shared" si="3"/>
        <v/>
      </c>
      <c r="L23" s="142" t="str">
        <f t="shared" si="4"/>
        <v/>
      </c>
      <c r="Q23" s="6">
        <v>65218</v>
      </c>
      <c r="R23" s="6" t="s">
        <v>257</v>
      </c>
      <c r="S23" s="6">
        <v>43</v>
      </c>
      <c r="T23" s="6" t="s">
        <v>115</v>
      </c>
      <c r="U23" t="str">
        <f t="shared" si="5"/>
        <v>652</v>
      </c>
    </row>
    <row r="24" spans="1:21">
      <c r="A24" s="140" t="str">
        <f>IF(E24="","",VLOOKUP('Opći dio'!$C$3,'Opći dio'!$L$6:$U$136,10,FALSE))</f>
        <v/>
      </c>
      <c r="B24" s="140" t="str">
        <f>IF(E24="","",VLOOKUP('Opći dio'!$C$3,'Opći dio'!$L$6:$U$136,9,FALSE))</f>
        <v/>
      </c>
      <c r="C24" s="200" t="str">
        <f t="shared" si="0"/>
        <v/>
      </c>
      <c r="D24" s="139" t="str">
        <f t="shared" si="1"/>
        <v/>
      </c>
      <c r="E24" s="151"/>
      <c r="F24" s="204" t="str">
        <f t="shared" si="2"/>
        <v/>
      </c>
      <c r="G24" s="196"/>
      <c r="H24" s="196"/>
      <c r="I24" s="196"/>
      <c r="K24" s="142" t="str">
        <f t="shared" si="3"/>
        <v/>
      </c>
      <c r="L24" s="142" t="str">
        <f t="shared" si="4"/>
        <v/>
      </c>
      <c r="Q24" s="6">
        <v>65264</v>
      </c>
      <c r="R24" s="6" t="s">
        <v>258</v>
      </c>
      <c r="S24" s="6">
        <v>43</v>
      </c>
      <c r="T24" s="6" t="s">
        <v>115</v>
      </c>
      <c r="U24" t="str">
        <f t="shared" si="5"/>
        <v>652</v>
      </c>
    </row>
    <row r="25" spans="1:21">
      <c r="A25" s="140" t="str">
        <f>IF(E25="","",VLOOKUP('Opći dio'!$C$3,'Opći dio'!$L$6:$U$136,10,FALSE))</f>
        <v/>
      </c>
      <c r="B25" s="140" t="str">
        <f>IF(E25="","",VLOOKUP('Opći dio'!$C$3,'Opći dio'!$L$6:$U$136,9,FALSE))</f>
        <v/>
      </c>
      <c r="C25" s="200" t="str">
        <f t="shared" si="0"/>
        <v/>
      </c>
      <c r="D25" s="139" t="str">
        <f t="shared" si="1"/>
        <v/>
      </c>
      <c r="E25" s="151"/>
      <c r="F25" s="204" t="str">
        <f t="shared" si="2"/>
        <v/>
      </c>
      <c r="G25" s="196"/>
      <c r="H25" s="196"/>
      <c r="I25" s="196"/>
      <c r="K25" s="142" t="str">
        <f t="shared" si="3"/>
        <v/>
      </c>
      <c r="L25" s="142" t="str">
        <f t="shared" si="4"/>
        <v/>
      </c>
      <c r="Q25" s="6">
        <v>65268</v>
      </c>
      <c r="R25" s="6" t="s">
        <v>115</v>
      </c>
      <c r="S25" s="6">
        <v>43</v>
      </c>
      <c r="T25" s="6" t="s">
        <v>115</v>
      </c>
      <c r="U25" t="str">
        <f t="shared" si="5"/>
        <v>652</v>
      </c>
    </row>
    <row r="26" spans="1:21">
      <c r="A26" s="140" t="str">
        <f>IF(E26="","",VLOOKUP('Opći dio'!$C$3,'Opći dio'!$L$6:$U$136,10,FALSE))</f>
        <v/>
      </c>
      <c r="B26" s="140" t="str">
        <f>IF(E26="","",VLOOKUP('Opći dio'!$C$3,'Opći dio'!$L$6:$U$136,9,FALSE))</f>
        <v/>
      </c>
      <c r="C26" s="200" t="str">
        <f t="shared" si="0"/>
        <v/>
      </c>
      <c r="D26" s="139" t="str">
        <f t="shared" si="1"/>
        <v/>
      </c>
      <c r="E26" s="151"/>
      <c r="F26" s="204" t="str">
        <f t="shared" si="2"/>
        <v/>
      </c>
      <c r="G26" s="196"/>
      <c r="H26" s="196"/>
      <c r="I26" s="196"/>
      <c r="K26" s="142" t="str">
        <f t="shared" si="3"/>
        <v/>
      </c>
      <c r="L26" s="142" t="str">
        <f t="shared" si="4"/>
        <v/>
      </c>
      <c r="Q26" s="198">
        <v>614810041</v>
      </c>
      <c r="R26" s="198" t="s">
        <v>1647</v>
      </c>
      <c r="S26" s="198">
        <v>41</v>
      </c>
      <c r="T26" s="198" t="s">
        <v>1643</v>
      </c>
    </row>
    <row r="27" spans="1:21">
      <c r="A27" s="140" t="str">
        <f>IF(E27="","",VLOOKUP('Opći dio'!$C$3,'Opći dio'!$L$6:$U$136,10,FALSE))</f>
        <v/>
      </c>
      <c r="B27" s="140" t="str">
        <f>IF(E27="","",VLOOKUP('Opći dio'!$C$3,'Opći dio'!$L$6:$U$136,9,FALSE))</f>
        <v/>
      </c>
      <c r="C27" s="200" t="str">
        <f t="shared" si="0"/>
        <v/>
      </c>
      <c r="D27" s="139" t="str">
        <f t="shared" si="1"/>
        <v/>
      </c>
      <c r="E27" s="151"/>
      <c r="F27" s="204" t="str">
        <f t="shared" si="2"/>
        <v/>
      </c>
      <c r="G27" s="196"/>
      <c r="H27" s="196"/>
      <c r="I27" s="196"/>
      <c r="K27" s="142" t="str">
        <f t="shared" si="3"/>
        <v/>
      </c>
      <c r="L27" s="142" t="str">
        <f t="shared" si="4"/>
        <v/>
      </c>
      <c r="Q27" s="198">
        <v>614820041</v>
      </c>
      <c r="R27" s="198" t="s">
        <v>1648</v>
      </c>
      <c r="S27" s="198">
        <v>41</v>
      </c>
      <c r="T27" s="198" t="s">
        <v>1643</v>
      </c>
    </row>
    <row r="28" spans="1:21">
      <c r="A28" s="140" t="str">
        <f>IF(E28="","",VLOOKUP('Opći dio'!$C$3,'Opći dio'!$L$6:$U$136,10,FALSE))</f>
        <v/>
      </c>
      <c r="B28" s="140" t="str">
        <f>IF(E28="","",VLOOKUP('Opći dio'!$C$3,'Opći dio'!$L$6:$U$136,9,FALSE))</f>
        <v/>
      </c>
      <c r="C28" s="200" t="str">
        <f t="shared" si="0"/>
        <v/>
      </c>
      <c r="D28" s="139" t="str">
        <f t="shared" si="1"/>
        <v/>
      </c>
      <c r="E28" s="151"/>
      <c r="F28" s="204" t="str">
        <f t="shared" si="2"/>
        <v/>
      </c>
      <c r="G28" s="196"/>
      <c r="H28" s="196"/>
      <c r="I28" s="196"/>
      <c r="K28" s="142" t="str">
        <f t="shared" si="3"/>
        <v/>
      </c>
      <c r="L28" s="142" t="str">
        <f t="shared" si="4"/>
        <v/>
      </c>
      <c r="Q28" s="198">
        <v>614830041</v>
      </c>
      <c r="R28" s="198" t="s">
        <v>1649</v>
      </c>
      <c r="S28" s="198">
        <v>41</v>
      </c>
      <c r="T28" s="198" t="s">
        <v>1643</v>
      </c>
    </row>
    <row r="29" spans="1:21">
      <c r="A29" s="140" t="str">
        <f>IF(E29="","",VLOOKUP('Opći dio'!$C$3,'Opći dio'!$L$6:$U$136,10,FALSE))</f>
        <v/>
      </c>
      <c r="B29" s="140" t="str">
        <f>IF(E29="","",VLOOKUP('Opći dio'!$C$3,'Opći dio'!$L$6:$U$136,9,FALSE))</f>
        <v/>
      </c>
      <c r="C29" s="200" t="str">
        <f t="shared" si="0"/>
        <v/>
      </c>
      <c r="D29" s="139" t="str">
        <f t="shared" si="1"/>
        <v/>
      </c>
      <c r="E29" s="151"/>
      <c r="F29" s="204" t="str">
        <f t="shared" si="2"/>
        <v/>
      </c>
      <c r="G29" s="196"/>
      <c r="H29" s="196"/>
      <c r="I29" s="196"/>
      <c r="K29" s="142" t="str">
        <f t="shared" si="3"/>
        <v/>
      </c>
      <c r="L29" s="142" t="str">
        <f t="shared" si="4"/>
        <v/>
      </c>
      <c r="Q29" s="198">
        <v>614840041</v>
      </c>
      <c r="R29" s="198" t="s">
        <v>1650</v>
      </c>
      <c r="S29" s="198">
        <v>41</v>
      </c>
      <c r="T29" s="198" t="s">
        <v>1643</v>
      </c>
    </row>
    <row r="30" spans="1:21">
      <c r="A30" s="140" t="str">
        <f>IF(E30="","",VLOOKUP('Opći dio'!$C$3,'Opći dio'!$L$6:$U$136,10,FALSE))</f>
        <v/>
      </c>
      <c r="B30" s="140" t="str">
        <f>IF(E30="","",VLOOKUP('Opći dio'!$C$3,'Opći dio'!$L$6:$U$136,9,FALSE))</f>
        <v/>
      </c>
      <c r="C30" s="200" t="str">
        <f t="shared" si="0"/>
        <v/>
      </c>
      <c r="D30" s="139" t="str">
        <f t="shared" si="1"/>
        <v/>
      </c>
      <c r="E30" s="151"/>
      <c r="F30" s="204" t="str">
        <f t="shared" si="2"/>
        <v/>
      </c>
      <c r="G30" s="196"/>
      <c r="H30" s="196"/>
      <c r="I30" s="196"/>
      <c r="K30" s="142" t="str">
        <f t="shared" si="3"/>
        <v/>
      </c>
      <c r="L30" s="142" t="str">
        <f t="shared" si="4"/>
        <v/>
      </c>
      <c r="Q30" s="6">
        <v>631110000</v>
      </c>
      <c r="R30" s="6" t="s">
        <v>26</v>
      </c>
      <c r="S30" s="6">
        <v>52</v>
      </c>
      <c r="T30" s="6" t="s">
        <v>128</v>
      </c>
      <c r="U30" t="str">
        <f t="shared" ref="U30:U35" si="6">LEFT(Q30,3)</f>
        <v>631</v>
      </c>
    </row>
    <row r="31" spans="1:21">
      <c r="A31" s="140" t="str">
        <f>IF(E31="","",VLOOKUP('Opći dio'!$C$3,'Opći dio'!$L$6:$U$136,10,FALSE))</f>
        <v/>
      </c>
      <c r="B31" s="140" t="str">
        <f>IF(E31="","",VLOOKUP('Opći dio'!$C$3,'Opći dio'!$L$6:$U$136,9,FALSE))</f>
        <v/>
      </c>
      <c r="C31" s="200" t="str">
        <f t="shared" si="0"/>
        <v/>
      </c>
      <c r="D31" s="139" t="str">
        <f t="shared" si="1"/>
        <v/>
      </c>
      <c r="E31" s="151"/>
      <c r="F31" s="204" t="str">
        <f t="shared" si="2"/>
        <v/>
      </c>
      <c r="G31" s="196"/>
      <c r="H31" s="196"/>
      <c r="I31" s="196"/>
      <c r="K31" s="142" t="str">
        <f t="shared" si="3"/>
        <v/>
      </c>
      <c r="L31" s="142" t="str">
        <f t="shared" si="4"/>
        <v/>
      </c>
      <c r="Q31" s="6">
        <v>631120000</v>
      </c>
      <c r="R31" s="6" t="s">
        <v>27</v>
      </c>
      <c r="S31" s="6">
        <v>52</v>
      </c>
      <c r="T31" s="6" t="s">
        <v>128</v>
      </c>
      <c r="U31" t="str">
        <f t="shared" si="6"/>
        <v>631</v>
      </c>
    </row>
    <row r="32" spans="1:21">
      <c r="A32" s="140" t="str">
        <f>IF(E32="","",VLOOKUP('Opći dio'!$C$3,'Opći dio'!$L$6:$U$136,10,FALSE))</f>
        <v/>
      </c>
      <c r="B32" s="140" t="str">
        <f>IF(E32="","",VLOOKUP('Opći dio'!$C$3,'Opći dio'!$L$6:$U$136,9,FALSE))</f>
        <v/>
      </c>
      <c r="C32" s="200" t="str">
        <f t="shared" si="0"/>
        <v/>
      </c>
      <c r="D32" s="139" t="str">
        <f t="shared" si="1"/>
        <v/>
      </c>
      <c r="E32" s="151"/>
      <c r="F32" s="204" t="str">
        <f t="shared" si="2"/>
        <v/>
      </c>
      <c r="G32" s="196"/>
      <c r="H32" s="196"/>
      <c r="I32" s="196"/>
      <c r="K32" s="142" t="str">
        <f t="shared" si="3"/>
        <v/>
      </c>
      <c r="L32" s="142" t="str">
        <f t="shared" si="4"/>
        <v/>
      </c>
      <c r="Q32" s="6">
        <v>631210000</v>
      </c>
      <c r="R32" s="6" t="s">
        <v>28</v>
      </c>
      <c r="S32" s="6">
        <v>52</v>
      </c>
      <c r="T32" s="6" t="s">
        <v>128</v>
      </c>
      <c r="U32" t="str">
        <f t="shared" si="6"/>
        <v>631</v>
      </c>
    </row>
    <row r="33" spans="1:21">
      <c r="A33" s="140" t="str">
        <f>IF(E33="","",VLOOKUP('Opći dio'!$C$3,'Opći dio'!$L$6:$U$136,10,FALSE))</f>
        <v/>
      </c>
      <c r="B33" s="140" t="str">
        <f>IF(E33="","",VLOOKUP('Opći dio'!$C$3,'Opći dio'!$L$6:$U$136,9,FALSE))</f>
        <v/>
      </c>
      <c r="C33" s="200" t="str">
        <f t="shared" si="0"/>
        <v/>
      </c>
      <c r="D33" s="139" t="str">
        <f t="shared" si="1"/>
        <v/>
      </c>
      <c r="E33" s="151"/>
      <c r="F33" s="204" t="str">
        <f t="shared" si="2"/>
        <v/>
      </c>
      <c r="G33" s="196"/>
      <c r="H33" s="196"/>
      <c r="I33" s="196"/>
      <c r="K33" s="142" t="str">
        <f t="shared" si="3"/>
        <v/>
      </c>
      <c r="L33" s="142" t="str">
        <f t="shared" si="4"/>
        <v/>
      </c>
      <c r="Q33" s="6">
        <v>631220000</v>
      </c>
      <c r="R33" s="6" t="s">
        <v>29</v>
      </c>
      <c r="S33" s="6">
        <v>52</v>
      </c>
      <c r="T33" s="6" t="s">
        <v>128</v>
      </c>
      <c r="U33" t="str">
        <f t="shared" si="6"/>
        <v>631</v>
      </c>
    </row>
    <row r="34" spans="1:21">
      <c r="A34" s="140" t="str">
        <f>IF(E34="","",VLOOKUP('Opći dio'!$C$3,'Opći dio'!$L$6:$U$136,10,FALSE))</f>
        <v/>
      </c>
      <c r="B34" s="140" t="str">
        <f>IF(E34="","",VLOOKUP('Opći dio'!$C$3,'Opći dio'!$L$6:$U$136,9,FALSE))</f>
        <v/>
      </c>
      <c r="C34" s="200" t="str">
        <f t="shared" si="0"/>
        <v/>
      </c>
      <c r="D34" s="139" t="str">
        <f t="shared" si="1"/>
        <v/>
      </c>
      <c r="E34" s="151"/>
      <c r="F34" s="204" t="str">
        <f t="shared" si="2"/>
        <v/>
      </c>
      <c r="G34" s="196"/>
      <c r="H34" s="196"/>
      <c r="I34" s="196"/>
      <c r="K34" s="142" t="str">
        <f t="shared" si="3"/>
        <v/>
      </c>
      <c r="L34" s="142" t="str">
        <f t="shared" si="4"/>
        <v/>
      </c>
      <c r="Q34" s="6">
        <v>632112000</v>
      </c>
      <c r="R34" s="6" t="s">
        <v>265</v>
      </c>
      <c r="S34" s="6">
        <v>52</v>
      </c>
      <c r="T34" s="6" t="s">
        <v>128</v>
      </c>
      <c r="U34" t="str">
        <f t="shared" si="6"/>
        <v>632</v>
      </c>
    </row>
    <row r="35" spans="1:21">
      <c r="A35" s="140" t="str">
        <f>IF(E35="","",VLOOKUP('Opći dio'!$C$3,'Opći dio'!$L$6:$U$136,10,FALSE))</f>
        <v/>
      </c>
      <c r="B35" s="140" t="str">
        <f>IF(E35="","",VLOOKUP('Opći dio'!$C$3,'Opći dio'!$L$6:$U$136,9,FALSE))</f>
        <v/>
      </c>
      <c r="C35" s="200" t="str">
        <f t="shared" si="0"/>
        <v/>
      </c>
      <c r="D35" s="139" t="str">
        <f t="shared" si="1"/>
        <v/>
      </c>
      <c r="E35" s="151"/>
      <c r="F35" s="204" t="str">
        <f t="shared" si="2"/>
        <v/>
      </c>
      <c r="G35" s="196"/>
      <c r="H35" s="196"/>
      <c r="I35" s="196"/>
      <c r="K35" s="142" t="str">
        <f t="shared" si="3"/>
        <v/>
      </c>
      <c r="L35" s="142" t="str">
        <f t="shared" si="4"/>
        <v/>
      </c>
      <c r="Q35" s="6">
        <v>632212000</v>
      </c>
      <c r="R35" s="6" t="s">
        <v>30</v>
      </c>
      <c r="S35" s="6">
        <v>52</v>
      </c>
      <c r="T35" s="6" t="s">
        <v>128</v>
      </c>
      <c r="U35" t="str">
        <f t="shared" si="6"/>
        <v>632</v>
      </c>
    </row>
    <row r="36" spans="1:21">
      <c r="A36" s="140" t="str">
        <f>IF(E36="","",VLOOKUP('Opći dio'!$C$3,'Opći dio'!$L$6:$U$136,10,FALSE))</f>
        <v/>
      </c>
      <c r="B36" s="140" t="str">
        <f>IF(E36="","",VLOOKUP('Opći dio'!$C$3,'Opći dio'!$L$6:$U$136,9,FALSE))</f>
        <v/>
      </c>
      <c r="C36" s="200" t="str">
        <f t="shared" si="0"/>
        <v/>
      </c>
      <c r="D36" s="139" t="str">
        <f t="shared" si="1"/>
        <v/>
      </c>
      <c r="E36" s="151"/>
      <c r="F36" s="204" t="str">
        <f t="shared" si="2"/>
        <v/>
      </c>
      <c r="G36" s="196"/>
      <c r="H36" s="196"/>
      <c r="I36" s="196"/>
      <c r="K36" s="142" t="str">
        <f t="shared" si="3"/>
        <v/>
      </c>
      <c r="L36" s="142" t="str">
        <f t="shared" si="4"/>
        <v/>
      </c>
      <c r="Q36" s="198">
        <v>632310552</v>
      </c>
      <c r="R36" s="198" t="s">
        <v>1652</v>
      </c>
      <c r="S36" s="198">
        <v>552</v>
      </c>
      <c r="T36" s="198" t="s">
        <v>1644</v>
      </c>
    </row>
    <row r="37" spans="1:21">
      <c r="A37" s="140" t="str">
        <f>IF(E37="","",VLOOKUP('Opći dio'!$C$3,'Opći dio'!$L$6:$U$136,10,FALSE))</f>
        <v/>
      </c>
      <c r="B37" s="140" t="str">
        <f>IF(E37="","",VLOOKUP('Opći dio'!$C$3,'Opći dio'!$L$6:$U$136,9,FALSE))</f>
        <v/>
      </c>
      <c r="C37" s="200" t="str">
        <f t="shared" si="0"/>
        <v/>
      </c>
      <c r="D37" s="139" t="str">
        <f t="shared" si="1"/>
        <v/>
      </c>
      <c r="E37" s="151"/>
      <c r="F37" s="204" t="str">
        <f t="shared" si="2"/>
        <v/>
      </c>
      <c r="G37" s="196"/>
      <c r="H37" s="196"/>
      <c r="I37" s="196"/>
      <c r="K37" s="142" t="str">
        <f t="shared" si="3"/>
        <v/>
      </c>
      <c r="L37" s="142" t="str">
        <f t="shared" si="4"/>
        <v/>
      </c>
      <c r="Q37" s="198">
        <v>632310559</v>
      </c>
      <c r="R37" s="198" t="s">
        <v>1653</v>
      </c>
      <c r="S37" s="198">
        <v>559</v>
      </c>
      <c r="T37" s="198" t="s">
        <v>1654</v>
      </c>
    </row>
    <row r="38" spans="1:21">
      <c r="A38" s="140" t="str">
        <f>IF(E38="","",VLOOKUP('Opći dio'!$C$3,'Opći dio'!$L$6:$U$136,10,FALSE))</f>
        <v/>
      </c>
      <c r="B38" s="140" t="str">
        <f>IF(E38="","",VLOOKUP('Opći dio'!$C$3,'Opći dio'!$L$6:$U$136,9,FALSE))</f>
        <v/>
      </c>
      <c r="C38" s="200" t="str">
        <f t="shared" si="0"/>
        <v/>
      </c>
      <c r="D38" s="139" t="str">
        <f t="shared" si="1"/>
        <v/>
      </c>
      <c r="E38" s="151"/>
      <c r="F38" s="204" t="str">
        <f t="shared" si="2"/>
        <v/>
      </c>
      <c r="G38" s="196"/>
      <c r="H38" s="196"/>
      <c r="I38" s="196"/>
      <c r="K38" s="142" t="str">
        <f t="shared" si="3"/>
        <v/>
      </c>
      <c r="L38" s="142" t="str">
        <f t="shared" si="4"/>
        <v/>
      </c>
      <c r="Q38" s="6">
        <v>632310561</v>
      </c>
      <c r="R38" s="6" t="s">
        <v>39</v>
      </c>
      <c r="S38" s="6">
        <v>561</v>
      </c>
      <c r="T38" s="6" t="s">
        <v>130</v>
      </c>
      <c r="U38" t="str">
        <f>LEFT(Q38,3)</f>
        <v>632</v>
      </c>
    </row>
    <row r="39" spans="1:21">
      <c r="A39" s="140" t="str">
        <f>IF(E39="","",VLOOKUP('Opći dio'!$C$3,'Opći dio'!$L$6:$U$136,10,FALSE))</f>
        <v/>
      </c>
      <c r="B39" s="140" t="str">
        <f>IF(E39="","",VLOOKUP('Opći dio'!$C$3,'Opći dio'!$L$6:$U$136,9,FALSE))</f>
        <v/>
      </c>
      <c r="C39" s="200" t="str">
        <f t="shared" si="0"/>
        <v/>
      </c>
      <c r="D39" s="139" t="str">
        <f t="shared" si="1"/>
        <v/>
      </c>
      <c r="E39" s="151"/>
      <c r="F39" s="204" t="str">
        <f t="shared" si="2"/>
        <v/>
      </c>
      <c r="G39" s="196"/>
      <c r="H39" s="196"/>
      <c r="I39" s="196"/>
      <c r="K39" s="142" t="str">
        <f t="shared" si="3"/>
        <v/>
      </c>
      <c r="L39" s="142" t="str">
        <f t="shared" si="4"/>
        <v/>
      </c>
      <c r="Q39" s="6">
        <v>632310563</v>
      </c>
      <c r="R39" s="6" t="s">
        <v>41</v>
      </c>
      <c r="S39" s="6">
        <v>563</v>
      </c>
      <c r="T39" s="6" t="s">
        <v>132</v>
      </c>
      <c r="U39" t="str">
        <f>LEFT(Q39,3)</f>
        <v>632</v>
      </c>
    </row>
    <row r="40" spans="1:21">
      <c r="A40" s="140" t="str">
        <f>IF(E40="","",VLOOKUP('Opći dio'!$C$3,'Opći dio'!$L$6:$U$136,10,FALSE))</f>
        <v/>
      </c>
      <c r="B40" s="140" t="str">
        <f>IF(E40="","",VLOOKUP('Opći dio'!$C$3,'Opći dio'!$L$6:$U$136,9,FALSE))</f>
        <v/>
      </c>
      <c r="C40" s="200" t="str">
        <f t="shared" si="0"/>
        <v/>
      </c>
      <c r="D40" s="139" t="str">
        <f t="shared" si="1"/>
        <v/>
      </c>
      <c r="E40" s="151"/>
      <c r="F40" s="204" t="str">
        <f t="shared" si="2"/>
        <v/>
      </c>
      <c r="G40" s="196"/>
      <c r="H40" s="196"/>
      <c r="I40" s="196"/>
      <c r="K40" s="142" t="str">
        <f t="shared" si="3"/>
        <v/>
      </c>
      <c r="L40" s="142" t="str">
        <f t="shared" si="4"/>
        <v/>
      </c>
      <c r="Q40" s="198">
        <v>632310573</v>
      </c>
      <c r="R40" s="198" t="s">
        <v>1655</v>
      </c>
      <c r="S40" s="198">
        <v>573</v>
      </c>
      <c r="T40" s="198" t="s">
        <v>1656</v>
      </c>
    </row>
    <row r="41" spans="1:21">
      <c r="A41" s="140" t="str">
        <f>IF(E41="","",VLOOKUP('Opći dio'!$C$3,'Opći dio'!$L$6:$U$136,10,FALSE))</f>
        <v/>
      </c>
      <c r="B41" s="140" t="str">
        <f>IF(E41="","",VLOOKUP('Opći dio'!$C$3,'Opći dio'!$L$6:$U$136,9,FALSE))</f>
        <v/>
      </c>
      <c r="C41" s="200" t="str">
        <f t="shared" si="0"/>
        <v/>
      </c>
      <c r="D41" s="139" t="str">
        <f t="shared" si="1"/>
        <v/>
      </c>
      <c r="E41" s="151"/>
      <c r="F41" s="204" t="str">
        <f t="shared" si="2"/>
        <v/>
      </c>
      <c r="G41" s="196"/>
      <c r="H41" s="196"/>
      <c r="I41" s="196"/>
      <c r="K41" s="142" t="str">
        <f t="shared" si="3"/>
        <v/>
      </c>
      <c r="L41" s="142" t="str">
        <f t="shared" si="4"/>
        <v/>
      </c>
      <c r="Q41" s="198">
        <v>632310575</v>
      </c>
      <c r="R41" s="198" t="s">
        <v>1657</v>
      </c>
      <c r="S41" s="198">
        <v>575</v>
      </c>
      <c r="T41" s="198" t="s">
        <v>1658</v>
      </c>
    </row>
    <row r="42" spans="1:21">
      <c r="A42" s="140" t="str">
        <f>IF(E42="","",VLOOKUP('Opći dio'!$C$3,'Opći dio'!$L$6:$U$136,10,FALSE))</f>
        <v/>
      </c>
      <c r="B42" s="140" t="str">
        <f>IF(E42="","",VLOOKUP('Opći dio'!$C$3,'Opći dio'!$L$6:$U$136,9,FALSE))</f>
        <v/>
      </c>
      <c r="C42" s="200" t="str">
        <f t="shared" si="0"/>
        <v/>
      </c>
      <c r="D42" s="139" t="str">
        <f t="shared" si="1"/>
        <v/>
      </c>
      <c r="E42" s="151"/>
      <c r="F42" s="204" t="str">
        <f t="shared" si="2"/>
        <v/>
      </c>
      <c r="G42" s="196">
        <v>1</v>
      </c>
      <c r="H42" s="196"/>
      <c r="I42" s="196"/>
      <c r="K42" s="142" t="str">
        <f>LEFT(E42,3)</f>
        <v/>
      </c>
      <c r="L42" s="142" t="str">
        <f>LEFT(E42,2)</f>
        <v/>
      </c>
      <c r="Q42" s="6">
        <v>632311500</v>
      </c>
      <c r="R42" s="6" t="s">
        <v>262</v>
      </c>
      <c r="S42" s="6">
        <v>51</v>
      </c>
      <c r="T42" s="6" t="s">
        <v>105</v>
      </c>
      <c r="U42" t="str">
        <f>LEFT(Q42,3)</f>
        <v>632</v>
      </c>
    </row>
    <row r="43" spans="1:21">
      <c r="A43" s="140" t="str">
        <f>IF(E43="","",VLOOKUP('Opći dio'!$C$3,'Opći dio'!$L$6:$U$136,10,FALSE))</f>
        <v/>
      </c>
      <c r="B43" s="140" t="str">
        <f>IF(E43="","",VLOOKUP('Opći dio'!$C$3,'Opći dio'!$L$6:$U$136,9,FALSE))</f>
        <v/>
      </c>
      <c r="C43" s="200" t="str">
        <f t="shared" si="0"/>
        <v/>
      </c>
      <c r="D43" s="139" t="str">
        <f t="shared" si="1"/>
        <v/>
      </c>
      <c r="E43" s="151"/>
      <c r="F43" s="204" t="str">
        <f t="shared" si="2"/>
        <v/>
      </c>
      <c r="G43" s="196"/>
      <c r="H43" s="196"/>
      <c r="I43" s="196"/>
      <c r="K43" s="142" t="str">
        <f t="shared" si="3"/>
        <v/>
      </c>
      <c r="L43" s="142" t="str">
        <f t="shared" si="4"/>
        <v/>
      </c>
      <c r="Q43" s="6">
        <v>632311600</v>
      </c>
      <c r="R43" s="6" t="s">
        <v>263</v>
      </c>
      <c r="S43" s="6">
        <v>51</v>
      </c>
      <c r="T43" s="6" t="s">
        <v>105</v>
      </c>
      <c r="U43" t="str">
        <f>LEFT(Q43,3)</f>
        <v>632</v>
      </c>
    </row>
    <row r="44" spans="1:21">
      <c r="A44" s="140" t="str">
        <f>IF(E44="","",VLOOKUP('Opći dio'!$C$3,'Opći dio'!$L$6:$U$136,10,FALSE))</f>
        <v/>
      </c>
      <c r="B44" s="140" t="str">
        <f>IF(E44="","",VLOOKUP('Opći dio'!$C$3,'Opći dio'!$L$6:$U$136,9,FALSE))</f>
        <v/>
      </c>
      <c r="C44" s="200" t="str">
        <f t="shared" si="0"/>
        <v/>
      </c>
      <c r="D44" s="139" t="str">
        <f t="shared" si="1"/>
        <v/>
      </c>
      <c r="E44" s="151"/>
      <c r="F44" s="204" t="str">
        <f t="shared" si="2"/>
        <v/>
      </c>
      <c r="G44" s="196"/>
      <c r="H44" s="196"/>
      <c r="I44" s="196"/>
      <c r="K44" s="142" t="str">
        <f t="shared" si="3"/>
        <v/>
      </c>
      <c r="L44" s="142" t="str">
        <f t="shared" si="4"/>
        <v/>
      </c>
      <c r="Q44" s="6">
        <v>632311700</v>
      </c>
      <c r="R44" s="6" t="s">
        <v>24</v>
      </c>
      <c r="S44" s="6">
        <v>51</v>
      </c>
      <c r="T44" s="6" t="s">
        <v>105</v>
      </c>
      <c r="U44" t="str">
        <f>LEFT(Q44,3)</f>
        <v>632</v>
      </c>
    </row>
    <row r="45" spans="1:21">
      <c r="A45" s="140" t="str">
        <f>IF(E45="","",VLOOKUP('Opći dio'!$C$3,'Opći dio'!$L$6:$U$136,10,FALSE))</f>
        <v/>
      </c>
      <c r="B45" s="140" t="str">
        <f>IF(E45="","",VLOOKUP('Opći dio'!$C$3,'Opći dio'!$L$6:$U$136,9,FALSE))</f>
        <v/>
      </c>
      <c r="C45" s="200" t="str">
        <f t="shared" si="0"/>
        <v/>
      </c>
      <c r="D45" s="139" t="str">
        <f t="shared" si="1"/>
        <v/>
      </c>
      <c r="E45" s="151"/>
      <c r="F45" s="204" t="str">
        <f t="shared" si="2"/>
        <v/>
      </c>
      <c r="G45" s="196"/>
      <c r="H45" s="196"/>
      <c r="I45" s="196"/>
      <c r="K45" s="142" t="str">
        <f t="shared" si="3"/>
        <v/>
      </c>
      <c r="L45" s="142" t="str">
        <f t="shared" si="4"/>
        <v/>
      </c>
      <c r="Q45" s="6">
        <v>632311800</v>
      </c>
      <c r="R45" s="6" t="s">
        <v>264</v>
      </c>
      <c r="S45" s="6">
        <v>51</v>
      </c>
      <c r="T45" s="6" t="s">
        <v>105</v>
      </c>
      <c r="U45" t="str">
        <f>LEFT(Q45,3)</f>
        <v>632</v>
      </c>
    </row>
    <row r="46" spans="1:21">
      <c r="A46" s="140" t="str">
        <f>IF(E46="","",VLOOKUP('Opći dio'!$C$3,'Opći dio'!$L$6:$U$136,10,FALSE))</f>
        <v/>
      </c>
      <c r="B46" s="140" t="str">
        <f>IF(E46="","",VLOOKUP('Opći dio'!$C$3,'Opći dio'!$L$6:$U$136,9,FALSE))</f>
        <v/>
      </c>
      <c r="C46" s="200" t="str">
        <f t="shared" si="0"/>
        <v/>
      </c>
      <c r="D46" s="139" t="str">
        <f t="shared" si="1"/>
        <v/>
      </c>
      <c r="E46" s="151"/>
      <c r="F46" s="204" t="str">
        <f t="shared" si="2"/>
        <v/>
      </c>
      <c r="G46" s="196"/>
      <c r="H46" s="196"/>
      <c r="I46" s="196"/>
      <c r="K46" s="142" t="str">
        <f t="shared" si="3"/>
        <v/>
      </c>
      <c r="L46" s="142" t="str">
        <f t="shared" si="4"/>
        <v/>
      </c>
      <c r="Q46" s="198">
        <v>632410552</v>
      </c>
      <c r="R46" s="198" t="s">
        <v>1659</v>
      </c>
      <c r="S46" s="198">
        <v>552</v>
      </c>
      <c r="T46" s="198" t="s">
        <v>1644</v>
      </c>
    </row>
    <row r="47" spans="1:21">
      <c r="A47" s="140" t="str">
        <f>IF(E47="","",VLOOKUP('Opći dio'!$C$3,'Opći dio'!$L$6:$U$136,10,FALSE))</f>
        <v/>
      </c>
      <c r="B47" s="140" t="str">
        <f>IF(E47="","",VLOOKUP('Opći dio'!$C$3,'Opći dio'!$L$6:$U$136,9,FALSE))</f>
        <v/>
      </c>
      <c r="C47" s="200" t="str">
        <f t="shared" si="0"/>
        <v/>
      </c>
      <c r="D47" s="139" t="str">
        <f t="shared" si="1"/>
        <v/>
      </c>
      <c r="E47" s="151"/>
      <c r="F47" s="204" t="str">
        <f t="shared" si="2"/>
        <v/>
      </c>
      <c r="G47" s="196"/>
      <c r="H47" s="196"/>
      <c r="I47" s="196"/>
      <c r="K47" s="142" t="str">
        <f t="shared" si="3"/>
        <v/>
      </c>
      <c r="L47" s="142" t="str">
        <f t="shared" si="4"/>
        <v/>
      </c>
      <c r="Q47" s="198">
        <v>632410559</v>
      </c>
      <c r="R47" s="198" t="s">
        <v>1660</v>
      </c>
      <c r="S47" s="198">
        <v>559</v>
      </c>
      <c r="T47" s="198" t="s">
        <v>1654</v>
      </c>
    </row>
    <row r="48" spans="1:21">
      <c r="A48" s="140" t="str">
        <f>IF(E48="","",VLOOKUP('Opći dio'!$C$3,'Opći dio'!$L$6:$U$136,10,FALSE))</f>
        <v/>
      </c>
      <c r="B48" s="140" t="str">
        <f>IF(E48="","",VLOOKUP('Opći dio'!$C$3,'Opći dio'!$L$6:$U$136,9,FALSE))</f>
        <v/>
      </c>
      <c r="C48" s="200" t="str">
        <f t="shared" si="0"/>
        <v/>
      </c>
      <c r="D48" s="139" t="str">
        <f t="shared" si="1"/>
        <v/>
      </c>
      <c r="E48" s="151"/>
      <c r="F48" s="204" t="str">
        <f t="shared" si="2"/>
        <v/>
      </c>
      <c r="G48" s="196"/>
      <c r="H48" s="196"/>
      <c r="I48" s="196"/>
      <c r="K48" s="142" t="str">
        <f t="shared" si="3"/>
        <v/>
      </c>
      <c r="L48" s="142" t="str">
        <f t="shared" si="4"/>
        <v/>
      </c>
      <c r="Q48" s="6">
        <v>632410561</v>
      </c>
      <c r="R48" s="6" t="s">
        <v>40</v>
      </c>
      <c r="S48" s="6">
        <v>561</v>
      </c>
      <c r="T48" s="6" t="s">
        <v>130</v>
      </c>
      <c r="U48" t="str">
        <f>LEFT(Q48,3)</f>
        <v>632</v>
      </c>
    </row>
    <row r="49" spans="1:21">
      <c r="A49" s="140" t="str">
        <f>IF(E49="","",VLOOKUP('Opći dio'!$C$3,'Opći dio'!$L$6:$U$136,10,FALSE))</f>
        <v/>
      </c>
      <c r="B49" s="140" t="str">
        <f>IF(E49="","",VLOOKUP('Opći dio'!$C$3,'Opći dio'!$L$6:$U$136,9,FALSE))</f>
        <v/>
      </c>
      <c r="C49" s="200" t="str">
        <f t="shared" si="0"/>
        <v/>
      </c>
      <c r="D49" s="139" t="str">
        <f t="shared" si="1"/>
        <v/>
      </c>
      <c r="E49" s="151"/>
      <c r="F49" s="204" t="str">
        <f t="shared" si="2"/>
        <v/>
      </c>
      <c r="G49" s="196"/>
      <c r="H49" s="196"/>
      <c r="I49" s="196"/>
      <c r="K49" s="142" t="str">
        <f t="shared" si="3"/>
        <v/>
      </c>
      <c r="L49" s="142" t="str">
        <f t="shared" si="4"/>
        <v/>
      </c>
      <c r="Q49" s="6">
        <v>632410563</v>
      </c>
      <c r="R49" s="6" t="s">
        <v>42</v>
      </c>
      <c r="S49" s="6">
        <v>563</v>
      </c>
      <c r="T49" s="6" t="s">
        <v>132</v>
      </c>
      <c r="U49" t="str">
        <f>LEFT(Q49,3)</f>
        <v>632</v>
      </c>
    </row>
    <row r="50" spans="1:21">
      <c r="A50" s="140" t="str">
        <f>IF(E50="","",VLOOKUP('Opći dio'!$C$3,'Opći dio'!$L$6:$U$136,10,FALSE))</f>
        <v/>
      </c>
      <c r="B50" s="140" t="str">
        <f>IF(E50="","",VLOOKUP('Opći dio'!$C$3,'Opći dio'!$L$6:$U$136,9,FALSE))</f>
        <v/>
      </c>
      <c r="C50" s="200" t="str">
        <f t="shared" si="0"/>
        <v/>
      </c>
      <c r="D50" s="139" t="str">
        <f t="shared" si="1"/>
        <v/>
      </c>
      <c r="E50" s="151"/>
      <c r="F50" s="204" t="str">
        <f t="shared" si="2"/>
        <v/>
      </c>
      <c r="G50" s="196"/>
      <c r="H50" s="196"/>
      <c r="I50" s="196"/>
      <c r="K50" s="142" t="str">
        <f t="shared" si="3"/>
        <v/>
      </c>
      <c r="L50" s="142" t="str">
        <f t="shared" si="4"/>
        <v/>
      </c>
      <c r="Q50" s="198">
        <v>632410573</v>
      </c>
      <c r="R50" s="198" t="s">
        <v>1661</v>
      </c>
      <c r="S50" s="198">
        <v>573</v>
      </c>
      <c r="T50" s="198" t="s">
        <v>1656</v>
      </c>
    </row>
    <row r="51" spans="1:21">
      <c r="A51" s="140" t="str">
        <f>IF(E51="","",VLOOKUP('Opći dio'!$C$3,'Opći dio'!$L$6:$U$136,10,FALSE))</f>
        <v/>
      </c>
      <c r="B51" s="140" t="str">
        <f>IF(E51="","",VLOOKUP('Opći dio'!$C$3,'Opći dio'!$L$6:$U$136,9,FALSE))</f>
        <v/>
      </c>
      <c r="C51" s="200" t="str">
        <f t="shared" si="0"/>
        <v/>
      </c>
      <c r="D51" s="139" t="str">
        <f t="shared" si="1"/>
        <v/>
      </c>
      <c r="E51" s="151"/>
      <c r="F51" s="204" t="str">
        <f t="shared" si="2"/>
        <v/>
      </c>
      <c r="G51" s="196"/>
      <c r="H51" s="196"/>
      <c r="I51" s="196"/>
      <c r="K51" s="142" t="str">
        <f t="shared" si="3"/>
        <v/>
      </c>
      <c r="L51" s="142" t="str">
        <f t="shared" si="4"/>
        <v/>
      </c>
      <c r="Q51" s="198">
        <v>632410575</v>
      </c>
      <c r="R51" s="198" t="s">
        <v>1662</v>
      </c>
      <c r="S51" s="198">
        <v>575</v>
      </c>
      <c r="T51" s="198" t="s">
        <v>1658</v>
      </c>
    </row>
    <row r="52" spans="1:21">
      <c r="A52" s="140" t="str">
        <f>IF(E52="","",VLOOKUP('Opći dio'!$C$3,'Opći dio'!$L$6:$U$136,10,FALSE))</f>
        <v/>
      </c>
      <c r="B52" s="140" t="str">
        <f>IF(E52="","",VLOOKUP('Opći dio'!$C$3,'Opći dio'!$L$6:$U$136,9,FALSE))</f>
        <v/>
      </c>
      <c r="C52" s="200" t="str">
        <f t="shared" si="0"/>
        <v/>
      </c>
      <c r="D52" s="139" t="str">
        <f t="shared" si="1"/>
        <v/>
      </c>
      <c r="E52" s="151"/>
      <c r="F52" s="204" t="str">
        <f t="shared" si="2"/>
        <v/>
      </c>
      <c r="G52" s="196"/>
      <c r="H52" s="196"/>
      <c r="I52" s="196"/>
      <c r="K52" s="142" t="str">
        <f t="shared" si="3"/>
        <v/>
      </c>
      <c r="L52" s="142" t="str">
        <f t="shared" si="4"/>
        <v/>
      </c>
      <c r="Q52" s="6">
        <v>632411700</v>
      </c>
      <c r="R52" s="6" t="s">
        <v>25</v>
      </c>
      <c r="S52" s="6">
        <v>51</v>
      </c>
      <c r="T52" s="6" t="s">
        <v>105</v>
      </c>
      <c r="U52" t="str">
        <f t="shared" ref="U52:U57" si="7">LEFT(Q52,3)</f>
        <v>632</v>
      </c>
    </row>
    <row r="53" spans="1:21">
      <c r="A53" s="140" t="str">
        <f>IF(E53="","",VLOOKUP('Opći dio'!$C$3,'Opći dio'!$L$6:$U$136,10,FALSE))</f>
        <v/>
      </c>
      <c r="B53" s="140" t="str">
        <f>IF(E53="","",VLOOKUP('Opći dio'!$C$3,'Opći dio'!$L$6:$U$136,9,FALSE))</f>
        <v/>
      </c>
      <c r="C53" s="200" t="str">
        <f t="shared" si="0"/>
        <v/>
      </c>
      <c r="D53" s="139" t="str">
        <f t="shared" si="1"/>
        <v/>
      </c>
      <c r="E53" s="151"/>
      <c r="F53" s="204" t="str">
        <f t="shared" si="2"/>
        <v/>
      </c>
      <c r="G53" s="196"/>
      <c r="H53" s="196"/>
      <c r="I53" s="196"/>
      <c r="K53" s="142" t="str">
        <f t="shared" si="3"/>
        <v/>
      </c>
      <c r="L53" s="142" t="str">
        <f t="shared" si="4"/>
        <v/>
      </c>
      <c r="Q53" s="6">
        <v>641290031</v>
      </c>
      <c r="R53" s="6" t="s">
        <v>250</v>
      </c>
      <c r="S53" s="6">
        <v>31</v>
      </c>
      <c r="T53" s="6" t="s">
        <v>110</v>
      </c>
      <c r="U53" t="str">
        <f t="shared" si="7"/>
        <v>641</v>
      </c>
    </row>
    <row r="54" spans="1:21">
      <c r="A54" s="140" t="str">
        <f>IF(E54="","",VLOOKUP('Opći dio'!$C$3,'Opći dio'!$L$6:$U$136,10,FALSE))</f>
        <v/>
      </c>
      <c r="B54" s="140" t="str">
        <f>IF(E54="","",VLOOKUP('Opći dio'!$C$3,'Opći dio'!$L$6:$U$136,9,FALSE))</f>
        <v/>
      </c>
      <c r="C54" s="200" t="str">
        <f t="shared" si="0"/>
        <v/>
      </c>
      <c r="D54" s="139" t="str">
        <f t="shared" si="1"/>
        <v/>
      </c>
      <c r="E54" s="151"/>
      <c r="F54" s="204" t="str">
        <f t="shared" si="2"/>
        <v/>
      </c>
      <c r="G54" s="196"/>
      <c r="H54" s="196"/>
      <c r="I54" s="196"/>
      <c r="K54" s="142" t="str">
        <f t="shared" si="3"/>
        <v/>
      </c>
      <c r="L54" s="142" t="str">
        <f t="shared" si="4"/>
        <v/>
      </c>
      <c r="Q54" s="6">
        <v>641310031</v>
      </c>
      <c r="R54" s="6" t="s">
        <v>251</v>
      </c>
      <c r="S54" s="6">
        <v>31</v>
      </c>
      <c r="T54" s="6" t="s">
        <v>110</v>
      </c>
      <c r="U54" t="str">
        <f t="shared" si="7"/>
        <v>641</v>
      </c>
    </row>
    <row r="55" spans="1:21">
      <c r="A55" s="140" t="str">
        <f>IF(E55="","",VLOOKUP('Opći dio'!$C$3,'Opći dio'!$L$6:$U$136,10,FALSE))</f>
        <v/>
      </c>
      <c r="B55" s="140" t="str">
        <f>IF(E55="","",VLOOKUP('Opći dio'!$C$3,'Opći dio'!$L$6:$U$136,9,FALSE))</f>
        <v/>
      </c>
      <c r="C55" s="200" t="str">
        <f t="shared" si="0"/>
        <v/>
      </c>
      <c r="D55" s="139" t="str">
        <f t="shared" si="1"/>
        <v/>
      </c>
      <c r="E55" s="151"/>
      <c r="F55" s="204" t="str">
        <f t="shared" si="2"/>
        <v/>
      </c>
      <c r="G55" s="196"/>
      <c r="H55" s="196"/>
      <c r="I55" s="196"/>
      <c r="K55" s="142" t="str">
        <f t="shared" si="3"/>
        <v/>
      </c>
      <c r="L55" s="142" t="str">
        <f t="shared" si="4"/>
        <v/>
      </c>
      <c r="Q55" s="6">
        <v>641320031</v>
      </c>
      <c r="R55" s="6" t="s">
        <v>252</v>
      </c>
      <c r="S55" s="6">
        <v>31</v>
      </c>
      <c r="T55" s="6" t="s">
        <v>110</v>
      </c>
      <c r="U55" t="str">
        <f t="shared" si="7"/>
        <v>641</v>
      </c>
    </row>
    <row r="56" spans="1:21">
      <c r="A56" s="140" t="str">
        <f>IF(E56="","",VLOOKUP('Opći dio'!$C$3,'Opći dio'!$L$6:$U$136,10,FALSE))</f>
        <v/>
      </c>
      <c r="B56" s="140" t="str">
        <f>IF(E56="","",VLOOKUP('Opći dio'!$C$3,'Opći dio'!$L$6:$U$136,9,FALSE))</f>
        <v/>
      </c>
      <c r="C56" s="200" t="str">
        <f t="shared" si="0"/>
        <v/>
      </c>
      <c r="D56" s="139" t="str">
        <f t="shared" si="1"/>
        <v/>
      </c>
      <c r="E56" s="151"/>
      <c r="F56" s="204" t="str">
        <f t="shared" si="2"/>
        <v/>
      </c>
      <c r="G56" s="196"/>
      <c r="H56" s="196"/>
      <c r="I56" s="196"/>
      <c r="K56" s="142" t="str">
        <f t="shared" si="3"/>
        <v/>
      </c>
      <c r="L56" s="142" t="str">
        <f t="shared" si="4"/>
        <v/>
      </c>
      <c r="Q56" s="6">
        <v>641630031</v>
      </c>
      <c r="R56" s="6" t="s">
        <v>253</v>
      </c>
      <c r="S56" s="6">
        <v>31</v>
      </c>
      <c r="T56" s="6" t="s">
        <v>110</v>
      </c>
      <c r="U56" t="str">
        <f t="shared" si="7"/>
        <v>641</v>
      </c>
    </row>
    <row r="57" spans="1:21">
      <c r="A57" s="140" t="str">
        <f>IF(E57="","",VLOOKUP('Opći dio'!$C$3,'Opći dio'!$L$6:$U$136,10,FALSE))</f>
        <v/>
      </c>
      <c r="B57" s="140" t="str">
        <f>IF(E57="","",VLOOKUP('Opći dio'!$C$3,'Opći dio'!$L$6:$U$136,9,FALSE))</f>
        <v/>
      </c>
      <c r="C57" s="200" t="str">
        <f t="shared" si="0"/>
        <v/>
      </c>
      <c r="D57" s="139" t="str">
        <f t="shared" si="1"/>
        <v/>
      </c>
      <c r="E57" s="151"/>
      <c r="F57" s="204" t="str">
        <f t="shared" si="2"/>
        <v/>
      </c>
      <c r="G57" s="196"/>
      <c r="H57" s="196"/>
      <c r="I57" s="196"/>
      <c r="K57" s="142" t="str">
        <f t="shared" si="3"/>
        <v/>
      </c>
      <c r="L57" s="142" t="str">
        <f t="shared" si="4"/>
        <v/>
      </c>
      <c r="Q57" s="6">
        <v>641720043</v>
      </c>
      <c r="R57" s="6" t="s">
        <v>256</v>
      </c>
      <c r="S57" s="6">
        <v>43</v>
      </c>
      <c r="T57" s="6" t="s">
        <v>115</v>
      </c>
      <c r="U57" t="str">
        <f t="shared" si="7"/>
        <v>641</v>
      </c>
    </row>
    <row r="58" spans="1:21">
      <c r="A58" s="140" t="str">
        <f>IF(E58="","",VLOOKUP('Opći dio'!$C$3,'Opći dio'!$L$6:$U$136,10,FALSE))</f>
        <v/>
      </c>
      <c r="B58" s="140" t="str">
        <f>IF(E58="","",VLOOKUP('Opći dio'!$C$3,'Opći dio'!$L$6:$U$136,9,FALSE))</f>
        <v/>
      </c>
      <c r="C58" s="200" t="str">
        <f t="shared" si="0"/>
        <v/>
      </c>
      <c r="D58" s="139" t="str">
        <f t="shared" si="1"/>
        <v/>
      </c>
      <c r="E58" s="151"/>
      <c r="F58" s="204" t="str">
        <f t="shared" si="2"/>
        <v/>
      </c>
      <c r="G58" s="196"/>
      <c r="H58" s="196"/>
      <c r="I58" s="196"/>
      <c r="K58" s="142" t="str">
        <f t="shared" si="3"/>
        <v/>
      </c>
      <c r="L58" s="142" t="str">
        <f t="shared" si="4"/>
        <v/>
      </c>
      <c r="Q58" s="198">
        <v>641770041</v>
      </c>
      <c r="R58" s="198" t="s">
        <v>1651</v>
      </c>
      <c r="S58" s="198">
        <v>41</v>
      </c>
      <c r="T58" s="198" t="s">
        <v>1643</v>
      </c>
    </row>
    <row r="59" spans="1:21">
      <c r="A59" s="140" t="str">
        <f>IF(E59="","",VLOOKUP('Opći dio'!$C$3,'Opći dio'!$L$6:$U$136,10,FALSE))</f>
        <v/>
      </c>
      <c r="B59" s="140" t="str">
        <f>IF(E59="","",VLOOKUP('Opći dio'!$C$3,'Opći dio'!$L$6:$U$136,9,FALSE))</f>
        <v/>
      </c>
      <c r="C59" s="200" t="str">
        <f t="shared" si="0"/>
        <v/>
      </c>
      <c r="D59" s="139" t="str">
        <f t="shared" si="1"/>
        <v/>
      </c>
      <c r="E59" s="151"/>
      <c r="F59" s="204" t="str">
        <f t="shared" si="2"/>
        <v/>
      </c>
      <c r="G59" s="196"/>
      <c r="H59" s="196"/>
      <c r="I59" s="196"/>
      <c r="K59" s="142" t="str">
        <f t="shared" si="3"/>
        <v/>
      </c>
      <c r="L59" s="142" t="str">
        <f t="shared" si="4"/>
        <v/>
      </c>
      <c r="Q59" s="6">
        <v>642510031</v>
      </c>
      <c r="R59" s="6" t="s">
        <v>254</v>
      </c>
      <c r="S59" s="6">
        <v>31</v>
      </c>
      <c r="T59" s="6" t="s">
        <v>110</v>
      </c>
      <c r="U59" t="str">
        <f t="shared" ref="U59:U85" si="8">LEFT(Q59,3)</f>
        <v>642</v>
      </c>
    </row>
    <row r="60" spans="1:21">
      <c r="A60" s="140" t="str">
        <f>IF(E60="","",VLOOKUP('Opći dio'!$C$3,'Opći dio'!$L$6:$U$136,10,FALSE))</f>
        <v/>
      </c>
      <c r="B60" s="140" t="str">
        <f>IF(E60="","",VLOOKUP('Opći dio'!$C$3,'Opći dio'!$L$6:$U$136,9,FALSE))</f>
        <v/>
      </c>
      <c r="C60" s="200" t="str">
        <f t="shared" si="0"/>
        <v/>
      </c>
      <c r="D60" s="139" t="str">
        <f t="shared" si="1"/>
        <v/>
      </c>
      <c r="E60" s="151"/>
      <c r="F60" s="204" t="str">
        <f t="shared" si="2"/>
        <v/>
      </c>
      <c r="G60" s="196"/>
      <c r="H60" s="196"/>
      <c r="I60" s="196"/>
      <c r="K60" s="142" t="str">
        <f t="shared" si="3"/>
        <v/>
      </c>
      <c r="L60" s="142" t="str">
        <f t="shared" si="4"/>
        <v/>
      </c>
      <c r="Q60" s="6">
        <v>642990031</v>
      </c>
      <c r="R60" s="6" t="s">
        <v>255</v>
      </c>
      <c r="S60" s="6">
        <v>31</v>
      </c>
      <c r="T60" s="6" t="s">
        <v>110</v>
      </c>
      <c r="U60" t="str">
        <f t="shared" si="8"/>
        <v>642</v>
      </c>
    </row>
    <row r="61" spans="1:21">
      <c r="A61" s="140" t="str">
        <f>IF(E61="","",VLOOKUP('Opći dio'!$C$3,'Opći dio'!$L$6:$U$136,10,FALSE))</f>
        <v/>
      </c>
      <c r="B61" s="140" t="str">
        <f>IF(E61="","",VLOOKUP('Opći dio'!$C$3,'Opći dio'!$L$6:$U$136,9,FALSE))</f>
        <v/>
      </c>
      <c r="C61" s="200" t="str">
        <f t="shared" si="0"/>
        <v/>
      </c>
      <c r="D61" s="139" t="str">
        <f t="shared" si="1"/>
        <v/>
      </c>
      <c r="E61" s="151"/>
      <c r="F61" s="204" t="str">
        <f t="shared" si="2"/>
        <v/>
      </c>
      <c r="G61" s="196"/>
      <c r="H61" s="196"/>
      <c r="I61" s="196"/>
      <c r="K61" s="142" t="str">
        <f t="shared" si="3"/>
        <v/>
      </c>
      <c r="L61" s="142" t="str">
        <f t="shared" si="4"/>
        <v/>
      </c>
      <c r="Q61" s="6">
        <v>652670043</v>
      </c>
      <c r="R61" s="6" t="s">
        <v>259</v>
      </c>
      <c r="S61" s="6">
        <v>43</v>
      </c>
      <c r="T61" s="6" t="s">
        <v>115</v>
      </c>
      <c r="U61" t="str">
        <f t="shared" si="8"/>
        <v>652</v>
      </c>
    </row>
    <row r="62" spans="1:21">
      <c r="A62" s="140" t="str">
        <f>IF(E62="","",VLOOKUP('Opći dio'!$C$3,'Opći dio'!$L$6:$U$136,10,FALSE))</f>
        <v/>
      </c>
      <c r="B62" s="140" t="str">
        <f>IF(E62="","",VLOOKUP('Opći dio'!$C$3,'Opći dio'!$L$6:$U$136,9,FALSE))</f>
        <v/>
      </c>
      <c r="C62" s="200" t="str">
        <f t="shared" si="0"/>
        <v/>
      </c>
      <c r="D62" s="139" t="str">
        <f t="shared" si="1"/>
        <v/>
      </c>
      <c r="E62" s="151"/>
      <c r="F62" s="204" t="str">
        <f t="shared" si="2"/>
        <v/>
      </c>
      <c r="G62" s="196"/>
      <c r="H62" s="196"/>
      <c r="I62" s="196"/>
      <c r="K62" s="142" t="str">
        <f t="shared" si="3"/>
        <v/>
      </c>
      <c r="L62" s="142" t="str">
        <f t="shared" si="4"/>
        <v/>
      </c>
      <c r="Q62" s="6">
        <v>663110000</v>
      </c>
      <c r="R62" s="6" t="s">
        <v>43</v>
      </c>
      <c r="S62" s="6">
        <v>61</v>
      </c>
      <c r="T62" s="6" t="s">
        <v>134</v>
      </c>
      <c r="U62" t="str">
        <f t="shared" si="8"/>
        <v>663</v>
      </c>
    </row>
    <row r="63" spans="1:21">
      <c r="A63" s="140" t="str">
        <f>IF(E63="","",VLOOKUP('Opći dio'!$C$3,'Opći dio'!$L$6:$U$136,10,FALSE))</f>
        <v/>
      </c>
      <c r="B63" s="140" t="str">
        <f>IF(E63="","",VLOOKUP('Opći dio'!$C$3,'Opći dio'!$L$6:$U$136,9,FALSE))</f>
        <v/>
      </c>
      <c r="C63" s="200" t="str">
        <f t="shared" si="0"/>
        <v/>
      </c>
      <c r="D63" s="139" t="str">
        <f t="shared" si="1"/>
        <v/>
      </c>
      <c r="E63" s="151"/>
      <c r="F63" s="204" t="str">
        <f t="shared" si="2"/>
        <v/>
      </c>
      <c r="G63" s="196"/>
      <c r="H63" s="196"/>
      <c r="I63" s="196"/>
      <c r="K63" s="142" t="str">
        <f t="shared" si="3"/>
        <v/>
      </c>
      <c r="L63" s="142" t="str">
        <f t="shared" si="4"/>
        <v/>
      </c>
      <c r="Q63" s="6">
        <v>663120000</v>
      </c>
      <c r="R63" s="6" t="s">
        <v>44</v>
      </c>
      <c r="S63" s="6">
        <v>61</v>
      </c>
      <c r="T63" s="6" t="s">
        <v>134</v>
      </c>
      <c r="U63" t="str">
        <f t="shared" si="8"/>
        <v>663</v>
      </c>
    </row>
    <row r="64" spans="1:21">
      <c r="A64" s="140" t="str">
        <f>IF(E64="","",VLOOKUP('Opći dio'!$C$3,'Opći dio'!$L$6:$U$136,10,FALSE))</f>
        <v/>
      </c>
      <c r="B64" s="140" t="str">
        <f>IF(E64="","",VLOOKUP('Opći dio'!$C$3,'Opći dio'!$L$6:$U$136,9,FALSE))</f>
        <v/>
      </c>
      <c r="C64" s="200" t="str">
        <f t="shared" si="0"/>
        <v/>
      </c>
      <c r="D64" s="139" t="str">
        <f t="shared" si="1"/>
        <v/>
      </c>
      <c r="E64" s="151"/>
      <c r="F64" s="204" t="str">
        <f t="shared" si="2"/>
        <v/>
      </c>
      <c r="G64" s="196"/>
      <c r="H64" s="196"/>
      <c r="I64" s="196"/>
      <c r="K64" s="142" t="str">
        <f t="shared" si="3"/>
        <v/>
      </c>
      <c r="L64" s="142" t="str">
        <f t="shared" si="4"/>
        <v/>
      </c>
      <c r="Q64" s="6">
        <v>663130000</v>
      </c>
      <c r="R64" s="6" t="s">
        <v>45</v>
      </c>
      <c r="S64" s="6">
        <v>61</v>
      </c>
      <c r="T64" s="6" t="s">
        <v>134</v>
      </c>
      <c r="U64" t="str">
        <f t="shared" si="8"/>
        <v>663</v>
      </c>
    </row>
    <row r="65" spans="1:21">
      <c r="A65" s="140" t="str">
        <f>IF(E65="","",VLOOKUP('Opći dio'!$C$3,'Opći dio'!$L$6:$U$136,10,FALSE))</f>
        <v/>
      </c>
      <c r="B65" s="140" t="str">
        <f>IF(E65="","",VLOOKUP('Opći dio'!$C$3,'Opći dio'!$L$6:$U$136,9,FALSE))</f>
        <v/>
      </c>
      <c r="C65" s="200" t="str">
        <f t="shared" si="0"/>
        <v/>
      </c>
      <c r="D65" s="139" t="str">
        <f t="shared" si="1"/>
        <v/>
      </c>
      <c r="E65" s="151"/>
      <c r="F65" s="204" t="str">
        <f t="shared" si="2"/>
        <v/>
      </c>
      <c r="G65" s="196"/>
      <c r="H65" s="196"/>
      <c r="I65" s="196"/>
      <c r="K65" s="142" t="str">
        <f t="shared" si="3"/>
        <v/>
      </c>
      <c r="L65" s="142" t="str">
        <f t="shared" si="4"/>
        <v/>
      </c>
      <c r="Q65" s="6">
        <v>663140000</v>
      </c>
      <c r="R65" s="6" t="s">
        <v>46</v>
      </c>
      <c r="S65" s="6">
        <v>61</v>
      </c>
      <c r="T65" s="6" t="s">
        <v>134</v>
      </c>
      <c r="U65" t="str">
        <f t="shared" si="8"/>
        <v>663</v>
      </c>
    </row>
    <row r="66" spans="1:21">
      <c r="A66" s="140" t="str">
        <f>IF(E66="","",VLOOKUP('Opći dio'!$C$3,'Opći dio'!$L$6:$U$136,10,FALSE))</f>
        <v/>
      </c>
      <c r="B66" s="140" t="str">
        <f>IF(E66="","",VLOOKUP('Opći dio'!$C$3,'Opći dio'!$L$6:$U$136,9,FALSE))</f>
        <v/>
      </c>
      <c r="C66" s="200" t="str">
        <f t="shared" si="0"/>
        <v/>
      </c>
      <c r="D66" s="139" t="str">
        <f t="shared" si="1"/>
        <v/>
      </c>
      <c r="E66" s="151"/>
      <c r="F66" s="204" t="str">
        <f t="shared" si="2"/>
        <v/>
      </c>
      <c r="G66" s="196"/>
      <c r="H66" s="196"/>
      <c r="I66" s="196"/>
      <c r="K66" s="142" t="str">
        <f t="shared" si="3"/>
        <v/>
      </c>
      <c r="L66" s="142" t="str">
        <f t="shared" si="4"/>
        <v/>
      </c>
      <c r="Q66" s="6">
        <v>663210000</v>
      </c>
      <c r="R66" s="6" t="s">
        <v>50</v>
      </c>
      <c r="S66" s="6">
        <v>61</v>
      </c>
      <c r="T66" s="6" t="s">
        <v>134</v>
      </c>
      <c r="U66" t="str">
        <f t="shared" si="8"/>
        <v>663</v>
      </c>
    </row>
    <row r="67" spans="1:21">
      <c r="A67" s="140" t="str">
        <f>IF(E67="","",VLOOKUP('Opći dio'!$C$3,'Opći dio'!$L$6:$U$136,10,FALSE))</f>
        <v/>
      </c>
      <c r="B67" s="140" t="str">
        <f>IF(E67="","",VLOOKUP('Opći dio'!$C$3,'Opći dio'!$L$6:$U$136,9,FALSE))</f>
        <v/>
      </c>
      <c r="C67" s="200" t="str">
        <f t="shared" si="0"/>
        <v/>
      </c>
      <c r="D67" s="139" t="str">
        <f t="shared" si="1"/>
        <v/>
      </c>
      <c r="E67" s="151"/>
      <c r="F67" s="204" t="str">
        <f t="shared" si="2"/>
        <v/>
      </c>
      <c r="G67" s="196"/>
      <c r="H67" s="196"/>
      <c r="I67" s="196"/>
      <c r="K67" s="142" t="str">
        <f t="shared" si="3"/>
        <v/>
      </c>
      <c r="L67" s="142" t="str">
        <f t="shared" si="4"/>
        <v/>
      </c>
      <c r="Q67" s="6">
        <v>663220000</v>
      </c>
      <c r="R67" s="6" t="s">
        <v>47</v>
      </c>
      <c r="S67" s="6">
        <v>61</v>
      </c>
      <c r="T67" s="6" t="s">
        <v>134</v>
      </c>
      <c r="U67" t="str">
        <f t="shared" si="8"/>
        <v>663</v>
      </c>
    </row>
    <row r="68" spans="1:21">
      <c r="A68" s="140" t="str">
        <f>IF(E68="","",VLOOKUP('Opći dio'!$C$3,'Opći dio'!$L$6:$U$136,10,FALSE))</f>
        <v/>
      </c>
      <c r="B68" s="140" t="str">
        <f>IF(E68="","",VLOOKUP('Opći dio'!$C$3,'Opći dio'!$L$6:$U$136,9,FALSE))</f>
        <v/>
      </c>
      <c r="C68" s="200" t="str">
        <f t="shared" ref="C68:C131" si="9">IFERROR(VLOOKUP(E68,$Q$6:$T$90,3,FALSE),"")</f>
        <v/>
      </c>
      <c r="D68" s="139" t="str">
        <f t="shared" ref="D68:D131" si="10">IFERROR(VLOOKUP(E68,$Q$6:$T$90,4,FALSE),"")</f>
        <v/>
      </c>
      <c r="E68" s="151"/>
      <c r="F68" s="204" t="str">
        <f t="shared" ref="F68:F131" si="11">IFERROR(VLOOKUP(E68,$Q$6:$T$90,2,FALSE),"")</f>
        <v/>
      </c>
      <c r="G68" s="196"/>
      <c r="H68" s="196"/>
      <c r="I68" s="196"/>
      <c r="K68" s="142" t="str">
        <f t="shared" ref="K68:K131" si="12">LEFT(E68,3)</f>
        <v/>
      </c>
      <c r="L68" s="142" t="str">
        <f t="shared" ref="L68:L131" si="13">LEFT(E68,2)</f>
        <v/>
      </c>
      <c r="Q68" s="6">
        <v>663230000</v>
      </c>
      <c r="R68" s="6" t="s">
        <v>48</v>
      </c>
      <c r="S68" s="6">
        <v>61</v>
      </c>
      <c r="T68" s="6" t="s">
        <v>134</v>
      </c>
      <c r="U68" t="str">
        <f t="shared" si="8"/>
        <v>663</v>
      </c>
    </row>
    <row r="69" spans="1:21">
      <c r="A69" s="140" t="str">
        <f>IF(E69="","",VLOOKUP('Opći dio'!$C$3,'Opći dio'!$L$6:$U$136,10,FALSE))</f>
        <v/>
      </c>
      <c r="B69" s="140" t="str">
        <f>IF(E69="","",VLOOKUP('Opći dio'!$C$3,'Opći dio'!$L$6:$U$136,9,FALSE))</f>
        <v/>
      </c>
      <c r="C69" s="200" t="str">
        <f t="shared" si="9"/>
        <v/>
      </c>
      <c r="D69" s="139" t="str">
        <f t="shared" si="10"/>
        <v/>
      </c>
      <c r="E69" s="151"/>
      <c r="F69" s="204" t="str">
        <f t="shared" si="11"/>
        <v/>
      </c>
      <c r="G69" s="196"/>
      <c r="H69" s="196"/>
      <c r="I69" s="196"/>
      <c r="K69" s="142" t="str">
        <f t="shared" si="12"/>
        <v/>
      </c>
      <c r="L69" s="142" t="str">
        <f t="shared" si="13"/>
        <v/>
      </c>
      <c r="Q69" s="6">
        <v>663240000</v>
      </c>
      <c r="R69" s="6" t="s">
        <v>49</v>
      </c>
      <c r="S69" s="6">
        <v>61</v>
      </c>
      <c r="T69" s="6" t="s">
        <v>134</v>
      </c>
      <c r="U69" t="str">
        <f t="shared" si="8"/>
        <v>663</v>
      </c>
    </row>
    <row r="70" spans="1:21">
      <c r="A70" s="140" t="str">
        <f>IF(E70="","",VLOOKUP('Opći dio'!$C$3,'Opći dio'!$L$6:$U$136,10,FALSE))</f>
        <v/>
      </c>
      <c r="B70" s="140" t="str">
        <f>IF(E70="","",VLOOKUP('Opći dio'!$C$3,'Opći dio'!$L$6:$U$136,9,FALSE))</f>
        <v/>
      </c>
      <c r="C70" s="200" t="str">
        <f t="shared" si="9"/>
        <v/>
      </c>
      <c r="D70" s="139" t="str">
        <f t="shared" si="10"/>
        <v/>
      </c>
      <c r="E70" s="151"/>
      <c r="F70" s="204" t="str">
        <f t="shared" si="11"/>
        <v/>
      </c>
      <c r="G70" s="196"/>
      <c r="H70" s="196"/>
      <c r="I70" s="196"/>
      <c r="K70" s="142" t="str">
        <f t="shared" si="12"/>
        <v/>
      </c>
      <c r="L70" s="142" t="str">
        <f t="shared" si="13"/>
        <v/>
      </c>
      <c r="Q70" s="6">
        <v>681910043</v>
      </c>
      <c r="R70" s="6" t="s">
        <v>260</v>
      </c>
      <c r="S70" s="6">
        <v>43</v>
      </c>
      <c r="T70" s="6" t="s">
        <v>115</v>
      </c>
      <c r="U70" t="str">
        <f t="shared" si="8"/>
        <v>681</v>
      </c>
    </row>
    <row r="71" spans="1:21">
      <c r="A71" s="140" t="str">
        <f>IF(E71="","",VLOOKUP('Opći dio'!$C$3,'Opći dio'!$L$6:$U$136,10,FALSE))</f>
        <v/>
      </c>
      <c r="B71" s="140" t="str">
        <f>IF(E71="","",VLOOKUP('Opći dio'!$C$3,'Opći dio'!$L$6:$U$136,9,FALSE))</f>
        <v/>
      </c>
      <c r="C71" s="200" t="str">
        <f t="shared" si="9"/>
        <v/>
      </c>
      <c r="D71" s="139" t="str">
        <f t="shared" si="10"/>
        <v/>
      </c>
      <c r="E71" s="151"/>
      <c r="F71" s="204" t="str">
        <f t="shared" si="11"/>
        <v/>
      </c>
      <c r="G71" s="196"/>
      <c r="H71" s="196"/>
      <c r="I71" s="196"/>
      <c r="K71" s="142" t="str">
        <f t="shared" si="12"/>
        <v/>
      </c>
      <c r="L71" s="142" t="str">
        <f t="shared" si="13"/>
        <v/>
      </c>
      <c r="Q71" s="6">
        <v>683110043</v>
      </c>
      <c r="R71" s="6" t="s">
        <v>261</v>
      </c>
      <c r="S71" s="6">
        <v>43</v>
      </c>
      <c r="T71" s="6" t="s">
        <v>115</v>
      </c>
      <c r="U71" t="str">
        <f t="shared" si="8"/>
        <v>683</v>
      </c>
    </row>
    <row r="72" spans="1:21">
      <c r="A72" s="140" t="str">
        <f>IF(E72="","",VLOOKUP('Opći dio'!$C$3,'Opći dio'!$L$6:$U$136,10,FALSE))</f>
        <v/>
      </c>
      <c r="B72" s="140" t="str">
        <f>IF(E72="","",VLOOKUP('Opći dio'!$C$3,'Opći dio'!$L$6:$U$136,9,FALSE))</f>
        <v/>
      </c>
      <c r="C72" s="200" t="str">
        <f t="shared" si="9"/>
        <v/>
      </c>
      <c r="D72" s="139" t="str">
        <f t="shared" si="10"/>
        <v/>
      </c>
      <c r="E72" s="151"/>
      <c r="F72" s="204" t="str">
        <f t="shared" si="11"/>
        <v/>
      </c>
      <c r="G72" s="196"/>
      <c r="H72" s="196"/>
      <c r="I72" s="196"/>
      <c r="K72" s="142" t="str">
        <f t="shared" si="12"/>
        <v/>
      </c>
      <c r="L72" s="142" t="str">
        <f t="shared" si="13"/>
        <v/>
      </c>
      <c r="Q72" s="6">
        <v>711120071</v>
      </c>
      <c r="R72" s="6" t="s">
        <v>268</v>
      </c>
      <c r="S72" s="6">
        <v>71</v>
      </c>
      <c r="T72" s="6" t="s">
        <v>193</v>
      </c>
      <c r="U72" t="str">
        <f t="shared" si="8"/>
        <v>711</v>
      </c>
    </row>
    <row r="73" spans="1:21">
      <c r="A73" s="140" t="str">
        <f>IF(E73="","",VLOOKUP('Opći dio'!$C$3,'Opći dio'!$L$6:$U$136,10,FALSE))</f>
        <v/>
      </c>
      <c r="B73" s="140" t="str">
        <f>IF(E73="","",VLOOKUP('Opći dio'!$C$3,'Opći dio'!$L$6:$U$136,9,FALSE))</f>
        <v/>
      </c>
      <c r="C73" s="200" t="str">
        <f t="shared" si="9"/>
        <v/>
      </c>
      <c r="D73" s="139" t="str">
        <f t="shared" si="10"/>
        <v/>
      </c>
      <c r="E73" s="151"/>
      <c r="F73" s="204" t="str">
        <f t="shared" si="11"/>
        <v/>
      </c>
      <c r="G73" s="196"/>
      <c r="H73" s="196"/>
      <c r="I73" s="196"/>
      <c r="K73" s="142" t="str">
        <f t="shared" si="12"/>
        <v/>
      </c>
      <c r="L73" s="142" t="str">
        <f t="shared" si="13"/>
        <v/>
      </c>
      <c r="Q73" s="6">
        <v>712410071</v>
      </c>
      <c r="R73" s="6" t="s">
        <v>269</v>
      </c>
      <c r="S73" s="6">
        <v>71</v>
      </c>
      <c r="T73" s="6" t="s">
        <v>193</v>
      </c>
      <c r="U73" t="str">
        <f t="shared" si="8"/>
        <v>712</v>
      </c>
    </row>
    <row r="74" spans="1:21">
      <c r="A74" s="140" t="str">
        <f>IF(E74="","",VLOOKUP('Opći dio'!$C$3,'Opći dio'!$L$6:$U$136,10,FALSE))</f>
        <v/>
      </c>
      <c r="B74" s="140" t="str">
        <f>IF(E74="","",VLOOKUP('Opći dio'!$C$3,'Opći dio'!$L$6:$U$136,9,FALSE))</f>
        <v/>
      </c>
      <c r="C74" s="200" t="str">
        <f t="shared" si="9"/>
        <v/>
      </c>
      <c r="D74" s="139" t="str">
        <f t="shared" si="10"/>
        <v/>
      </c>
      <c r="E74" s="151"/>
      <c r="F74" s="204" t="str">
        <f t="shared" si="11"/>
        <v/>
      </c>
      <c r="G74" s="196"/>
      <c r="H74" s="196"/>
      <c r="I74" s="196"/>
      <c r="K74" s="142" t="str">
        <f t="shared" si="12"/>
        <v/>
      </c>
      <c r="L74" s="142" t="str">
        <f t="shared" si="13"/>
        <v/>
      </c>
      <c r="Q74" s="197">
        <v>712490071</v>
      </c>
      <c r="R74" s="197" t="s">
        <v>270</v>
      </c>
      <c r="S74" s="197">
        <v>71</v>
      </c>
      <c r="T74" s="197" t="s">
        <v>193</v>
      </c>
      <c r="U74" t="str">
        <f t="shared" si="8"/>
        <v>712</v>
      </c>
    </row>
    <row r="75" spans="1:21">
      <c r="A75" s="140" t="str">
        <f>IF(E75="","",VLOOKUP('Opći dio'!$C$3,'Opći dio'!$L$6:$U$136,10,FALSE))</f>
        <v/>
      </c>
      <c r="B75" s="140" t="str">
        <f>IF(E75="","",VLOOKUP('Opći dio'!$C$3,'Opći dio'!$L$6:$U$136,9,FALSE))</f>
        <v/>
      </c>
      <c r="C75" s="200" t="str">
        <f t="shared" si="9"/>
        <v/>
      </c>
      <c r="D75" s="139" t="str">
        <f t="shared" si="10"/>
        <v/>
      </c>
      <c r="E75" s="151"/>
      <c r="F75" s="204" t="str">
        <f t="shared" si="11"/>
        <v/>
      </c>
      <c r="G75" s="196"/>
      <c r="H75" s="196"/>
      <c r="I75" s="196"/>
      <c r="K75" s="142" t="str">
        <f t="shared" si="12"/>
        <v/>
      </c>
      <c r="L75" s="142" t="str">
        <f t="shared" si="13"/>
        <v/>
      </c>
      <c r="Q75" s="197">
        <v>721110071</v>
      </c>
      <c r="R75" s="197" t="s">
        <v>271</v>
      </c>
      <c r="S75" s="197">
        <v>71</v>
      </c>
      <c r="T75" s="197" t="s">
        <v>193</v>
      </c>
      <c r="U75" t="str">
        <f t="shared" si="8"/>
        <v>721</v>
      </c>
    </row>
    <row r="76" spans="1:21">
      <c r="A76" s="140" t="str">
        <f>IF(E76="","",VLOOKUP('Opći dio'!$C$3,'Opći dio'!$L$6:$U$136,10,FALSE))</f>
        <v/>
      </c>
      <c r="B76" s="140" t="str">
        <f>IF(E76="","",VLOOKUP('Opći dio'!$C$3,'Opći dio'!$L$6:$U$136,9,FALSE))</f>
        <v/>
      </c>
      <c r="C76" s="200" t="str">
        <f t="shared" si="9"/>
        <v/>
      </c>
      <c r="D76" s="139" t="str">
        <f t="shared" si="10"/>
        <v/>
      </c>
      <c r="E76" s="151"/>
      <c r="F76" s="204" t="str">
        <f t="shared" si="11"/>
        <v/>
      </c>
      <c r="G76" s="196"/>
      <c r="H76" s="196"/>
      <c r="I76" s="196"/>
      <c r="K76" s="142" t="str">
        <f t="shared" si="12"/>
        <v/>
      </c>
      <c r="L76" s="142" t="str">
        <f t="shared" si="13"/>
        <v/>
      </c>
      <c r="Q76" s="197">
        <v>721190071</v>
      </c>
      <c r="R76" s="197" t="s">
        <v>272</v>
      </c>
      <c r="S76" s="197">
        <v>71</v>
      </c>
      <c r="T76" s="197" t="s">
        <v>193</v>
      </c>
      <c r="U76" t="str">
        <f t="shared" si="8"/>
        <v>721</v>
      </c>
    </row>
    <row r="77" spans="1:21">
      <c r="A77" s="140" t="str">
        <f>IF(E77="","",VLOOKUP('Opći dio'!$C$3,'Opći dio'!$L$6:$U$136,10,FALSE))</f>
        <v/>
      </c>
      <c r="B77" s="140" t="str">
        <f>IF(E77="","",VLOOKUP('Opći dio'!$C$3,'Opći dio'!$L$6:$U$136,9,FALSE))</f>
        <v/>
      </c>
      <c r="C77" s="200" t="str">
        <f t="shared" si="9"/>
        <v/>
      </c>
      <c r="D77" s="139" t="str">
        <f t="shared" si="10"/>
        <v/>
      </c>
      <c r="E77" s="151"/>
      <c r="F77" s="204" t="str">
        <f t="shared" si="11"/>
        <v/>
      </c>
      <c r="G77" s="196"/>
      <c r="H77" s="196"/>
      <c r="I77" s="196"/>
      <c r="K77" s="142" t="str">
        <f t="shared" si="12"/>
        <v/>
      </c>
      <c r="L77" s="142" t="str">
        <f t="shared" si="13"/>
        <v/>
      </c>
      <c r="Q77" s="197">
        <v>721230071</v>
      </c>
      <c r="R77" s="197" t="s">
        <v>273</v>
      </c>
      <c r="S77" s="197">
        <v>71</v>
      </c>
      <c r="T77" s="197" t="s">
        <v>193</v>
      </c>
      <c r="U77" t="str">
        <f t="shared" si="8"/>
        <v>721</v>
      </c>
    </row>
    <row r="78" spans="1:21">
      <c r="A78" s="140" t="str">
        <f>IF(E78="","",VLOOKUP('Opći dio'!$C$3,'Opći dio'!$L$6:$U$136,10,FALSE))</f>
        <v/>
      </c>
      <c r="B78" s="140" t="str">
        <f>IF(E78="","",VLOOKUP('Opći dio'!$C$3,'Opći dio'!$L$6:$U$136,9,FALSE))</f>
        <v/>
      </c>
      <c r="C78" s="200" t="str">
        <f t="shared" si="9"/>
        <v/>
      </c>
      <c r="D78" s="139" t="str">
        <f t="shared" si="10"/>
        <v/>
      </c>
      <c r="E78" s="151"/>
      <c r="F78" s="204" t="str">
        <f t="shared" si="11"/>
        <v/>
      </c>
      <c r="G78" s="196"/>
      <c r="H78" s="196"/>
      <c r="I78" s="196"/>
      <c r="K78" s="142" t="str">
        <f t="shared" si="12"/>
        <v/>
      </c>
      <c r="L78" s="142" t="str">
        <f t="shared" si="13"/>
        <v/>
      </c>
      <c r="Q78" s="197">
        <v>721290071</v>
      </c>
      <c r="R78" s="197" t="s">
        <v>274</v>
      </c>
      <c r="S78" s="197">
        <v>71</v>
      </c>
      <c r="T78" s="197" t="s">
        <v>193</v>
      </c>
      <c r="U78" t="str">
        <f t="shared" si="8"/>
        <v>721</v>
      </c>
    </row>
    <row r="79" spans="1:21">
      <c r="A79" s="140" t="str">
        <f>IF(E79="","",VLOOKUP('Opći dio'!$C$3,'Opći dio'!$L$6:$U$136,10,FALSE))</f>
        <v/>
      </c>
      <c r="B79" s="140" t="str">
        <f>IF(E79="","",VLOOKUP('Opći dio'!$C$3,'Opći dio'!$L$6:$U$136,9,FALSE))</f>
        <v/>
      </c>
      <c r="C79" s="200" t="str">
        <f t="shared" si="9"/>
        <v/>
      </c>
      <c r="D79" s="139" t="str">
        <f t="shared" si="10"/>
        <v/>
      </c>
      <c r="E79" s="151"/>
      <c r="F79" s="204" t="str">
        <f t="shared" si="11"/>
        <v/>
      </c>
      <c r="G79" s="196"/>
      <c r="H79" s="196"/>
      <c r="I79" s="196"/>
      <c r="K79" s="142" t="str">
        <f t="shared" si="12"/>
        <v/>
      </c>
      <c r="L79" s="142" t="str">
        <f t="shared" si="13"/>
        <v/>
      </c>
      <c r="Q79" s="197">
        <v>722110071</v>
      </c>
      <c r="R79" s="197" t="s">
        <v>275</v>
      </c>
      <c r="S79" s="197">
        <v>71</v>
      </c>
      <c r="T79" s="197" t="s">
        <v>193</v>
      </c>
      <c r="U79" t="str">
        <f t="shared" si="8"/>
        <v>722</v>
      </c>
    </row>
    <row r="80" spans="1:21">
      <c r="A80" s="140" t="str">
        <f>IF(E80="","",VLOOKUP('Opći dio'!$C$3,'Opći dio'!$L$6:$U$136,10,FALSE))</f>
        <v/>
      </c>
      <c r="B80" s="140" t="str">
        <f>IF(E80="","",VLOOKUP('Opći dio'!$C$3,'Opći dio'!$L$6:$U$136,9,FALSE))</f>
        <v/>
      </c>
      <c r="C80" s="200" t="str">
        <f t="shared" si="9"/>
        <v/>
      </c>
      <c r="D80" s="139" t="str">
        <f t="shared" si="10"/>
        <v/>
      </c>
      <c r="E80" s="151"/>
      <c r="F80" s="204" t="str">
        <f t="shared" si="11"/>
        <v/>
      </c>
      <c r="G80" s="196"/>
      <c r="H80" s="196"/>
      <c r="I80" s="196"/>
      <c r="K80" s="142" t="str">
        <f t="shared" si="12"/>
        <v/>
      </c>
      <c r="L80" s="142" t="str">
        <f t="shared" si="13"/>
        <v/>
      </c>
      <c r="Q80" s="197">
        <v>722190071</v>
      </c>
      <c r="R80" s="197" t="s">
        <v>276</v>
      </c>
      <c r="S80" s="197">
        <v>71</v>
      </c>
      <c r="T80" s="197" t="s">
        <v>193</v>
      </c>
      <c r="U80" t="str">
        <f t="shared" si="8"/>
        <v>722</v>
      </c>
    </row>
    <row r="81" spans="1:21">
      <c r="A81" s="140" t="str">
        <f>IF(E81="","",VLOOKUP('Opći dio'!$C$3,'Opći dio'!$L$6:$U$136,10,FALSE))</f>
        <v/>
      </c>
      <c r="B81" s="140" t="str">
        <f>IF(E81="","",VLOOKUP('Opći dio'!$C$3,'Opći dio'!$L$6:$U$136,9,FALSE))</f>
        <v/>
      </c>
      <c r="C81" s="200" t="str">
        <f t="shared" si="9"/>
        <v/>
      </c>
      <c r="D81" s="139" t="str">
        <f t="shared" si="10"/>
        <v/>
      </c>
      <c r="E81" s="151"/>
      <c r="F81" s="204" t="str">
        <f t="shared" si="11"/>
        <v/>
      </c>
      <c r="G81" s="196"/>
      <c r="H81" s="196"/>
      <c r="I81" s="196"/>
      <c r="K81" s="142" t="str">
        <f t="shared" si="12"/>
        <v/>
      </c>
      <c r="L81" s="142" t="str">
        <f t="shared" si="13"/>
        <v/>
      </c>
      <c r="Q81" s="197">
        <v>722620071</v>
      </c>
      <c r="R81" s="197" t="s">
        <v>277</v>
      </c>
      <c r="S81" s="197">
        <v>71</v>
      </c>
      <c r="T81" s="197" t="s">
        <v>193</v>
      </c>
      <c r="U81" t="str">
        <f t="shared" si="8"/>
        <v>722</v>
      </c>
    </row>
    <row r="82" spans="1:21">
      <c r="A82" s="140" t="str">
        <f>IF(E82="","",VLOOKUP('Opći dio'!$C$3,'Opći dio'!$L$6:$U$136,10,FALSE))</f>
        <v/>
      </c>
      <c r="B82" s="140" t="str">
        <f>IF(E82="","",VLOOKUP('Opći dio'!$C$3,'Opći dio'!$L$6:$U$136,9,FALSE))</f>
        <v/>
      </c>
      <c r="C82" s="200" t="str">
        <f t="shared" si="9"/>
        <v/>
      </c>
      <c r="D82" s="139" t="str">
        <f t="shared" si="10"/>
        <v/>
      </c>
      <c r="E82" s="151"/>
      <c r="F82" s="204" t="str">
        <f t="shared" si="11"/>
        <v/>
      </c>
      <c r="G82" s="196"/>
      <c r="H82" s="196"/>
      <c r="I82" s="196"/>
      <c r="K82" s="142" t="str">
        <f t="shared" si="12"/>
        <v/>
      </c>
      <c r="L82" s="142" t="str">
        <f t="shared" si="13"/>
        <v/>
      </c>
      <c r="Q82" s="197">
        <v>722730071</v>
      </c>
      <c r="R82" s="197" t="s">
        <v>278</v>
      </c>
      <c r="S82" s="197">
        <v>71</v>
      </c>
      <c r="T82" s="197" t="s">
        <v>193</v>
      </c>
      <c r="U82" t="str">
        <f t="shared" si="8"/>
        <v>722</v>
      </c>
    </row>
    <row r="83" spans="1:21">
      <c r="A83" s="140" t="str">
        <f>IF(E83="","",VLOOKUP('Opći dio'!$C$3,'Opći dio'!$L$6:$U$136,10,FALSE))</f>
        <v/>
      </c>
      <c r="B83" s="140" t="str">
        <f>IF(E83="","",VLOOKUP('Opći dio'!$C$3,'Opći dio'!$L$6:$U$136,9,FALSE))</f>
        <v/>
      </c>
      <c r="C83" s="200" t="str">
        <f t="shared" si="9"/>
        <v/>
      </c>
      <c r="D83" s="139" t="str">
        <f t="shared" si="10"/>
        <v/>
      </c>
      <c r="E83" s="151"/>
      <c r="F83" s="204" t="str">
        <f t="shared" si="11"/>
        <v/>
      </c>
      <c r="G83" s="196"/>
      <c r="H83" s="196"/>
      <c r="I83" s="196"/>
      <c r="K83" s="142" t="str">
        <f t="shared" si="12"/>
        <v/>
      </c>
      <c r="L83" s="142" t="str">
        <f t="shared" si="13"/>
        <v/>
      </c>
      <c r="Q83" s="197">
        <v>723110071</v>
      </c>
      <c r="R83" s="197" t="s">
        <v>279</v>
      </c>
      <c r="S83" s="197">
        <v>71</v>
      </c>
      <c r="T83" s="197" t="s">
        <v>193</v>
      </c>
      <c r="U83" t="str">
        <f t="shared" si="8"/>
        <v>723</v>
      </c>
    </row>
    <row r="84" spans="1:21">
      <c r="A84" s="140" t="str">
        <f>IF(E84="","",VLOOKUP('Opći dio'!$C$3,'Opći dio'!$L$6:$U$136,10,FALSE))</f>
        <v/>
      </c>
      <c r="B84" s="140" t="str">
        <f>IF(E84="","",VLOOKUP('Opći dio'!$C$3,'Opći dio'!$L$6:$U$136,9,FALSE))</f>
        <v/>
      </c>
      <c r="C84" s="200" t="str">
        <f t="shared" si="9"/>
        <v/>
      </c>
      <c r="D84" s="139" t="str">
        <f t="shared" si="10"/>
        <v/>
      </c>
      <c r="E84" s="151"/>
      <c r="F84" s="204" t="str">
        <f t="shared" si="11"/>
        <v/>
      </c>
      <c r="G84" s="196"/>
      <c r="H84" s="196"/>
      <c r="I84" s="196"/>
      <c r="K84" s="142" t="str">
        <f t="shared" si="12"/>
        <v/>
      </c>
      <c r="L84" s="142" t="str">
        <f t="shared" si="13"/>
        <v/>
      </c>
      <c r="Q84" s="197">
        <v>725210071</v>
      </c>
      <c r="R84" s="197" t="s">
        <v>280</v>
      </c>
      <c r="S84" s="197">
        <v>71</v>
      </c>
      <c r="T84" s="197" t="s">
        <v>193</v>
      </c>
      <c r="U84" t="str">
        <f t="shared" si="8"/>
        <v>725</v>
      </c>
    </row>
    <row r="85" spans="1:21">
      <c r="A85" s="140" t="str">
        <f>IF(E85="","",VLOOKUP('Opći dio'!$C$3,'Opći dio'!$L$6:$U$136,10,FALSE))</f>
        <v/>
      </c>
      <c r="B85" s="140" t="str">
        <f>IF(E85="","",VLOOKUP('Opći dio'!$C$3,'Opći dio'!$L$6:$U$136,9,FALSE))</f>
        <v/>
      </c>
      <c r="C85" s="200" t="str">
        <f t="shared" si="9"/>
        <v/>
      </c>
      <c r="D85" s="139" t="str">
        <f t="shared" si="10"/>
        <v/>
      </c>
      <c r="E85" s="151"/>
      <c r="F85" s="204" t="str">
        <f t="shared" si="11"/>
        <v/>
      </c>
      <c r="G85" s="196"/>
      <c r="H85" s="196"/>
      <c r="I85" s="196"/>
      <c r="K85" s="142" t="str">
        <f t="shared" si="12"/>
        <v/>
      </c>
      <c r="L85" s="142" t="str">
        <f t="shared" si="13"/>
        <v/>
      </c>
      <c r="Q85" s="197">
        <v>812125000</v>
      </c>
      <c r="R85" s="197" t="s">
        <v>281</v>
      </c>
      <c r="S85" s="197">
        <v>81</v>
      </c>
      <c r="T85" s="197" t="s">
        <v>75</v>
      </c>
      <c r="U85" t="str">
        <f t="shared" si="8"/>
        <v>812</v>
      </c>
    </row>
    <row r="86" spans="1:21">
      <c r="A86" s="140" t="str">
        <f>IF(E86="","",VLOOKUP('Opći dio'!$C$3,'Opći dio'!$L$6:$U$136,10,FALSE))</f>
        <v/>
      </c>
      <c r="B86" s="140" t="str">
        <f>IF(E86="","",VLOOKUP('Opći dio'!$C$3,'Opći dio'!$L$6:$U$136,9,FALSE))</f>
        <v/>
      </c>
      <c r="C86" s="200" t="str">
        <f t="shared" si="9"/>
        <v/>
      </c>
      <c r="D86" s="139" t="str">
        <f t="shared" si="10"/>
        <v/>
      </c>
      <c r="E86" s="151"/>
      <c r="F86" s="204" t="str">
        <f t="shared" si="11"/>
        <v/>
      </c>
      <c r="G86" s="196"/>
      <c r="H86" s="196"/>
      <c r="I86" s="196"/>
      <c r="K86" s="142" t="str">
        <f t="shared" si="12"/>
        <v/>
      </c>
      <c r="L86" s="142" t="str">
        <f t="shared" si="13"/>
        <v/>
      </c>
      <c r="Q86">
        <v>818120043</v>
      </c>
      <c r="R86" t="s">
        <v>1663</v>
      </c>
      <c r="S86">
        <v>43</v>
      </c>
      <c r="T86" t="s">
        <v>115</v>
      </c>
    </row>
    <row r="87" spans="1:21">
      <c r="A87" s="140" t="str">
        <f>IF(E87="","",VLOOKUP('Opći dio'!$C$3,'Opći dio'!$L$6:$U$136,10,FALSE))</f>
        <v/>
      </c>
      <c r="B87" s="140" t="str">
        <f>IF(E87="","",VLOOKUP('Opći dio'!$C$3,'Opći dio'!$L$6:$U$136,9,FALSE))</f>
        <v/>
      </c>
      <c r="C87" s="200" t="str">
        <f t="shared" si="9"/>
        <v/>
      </c>
      <c r="D87" s="139" t="str">
        <f t="shared" si="10"/>
        <v/>
      </c>
      <c r="E87" s="151"/>
      <c r="F87" s="204" t="str">
        <f t="shared" si="11"/>
        <v/>
      </c>
      <c r="G87" s="196"/>
      <c r="H87" s="196"/>
      <c r="I87" s="196"/>
      <c r="K87" s="142" t="str">
        <f t="shared" si="12"/>
        <v/>
      </c>
      <c r="L87" s="142" t="str">
        <f t="shared" si="13"/>
        <v/>
      </c>
      <c r="Q87">
        <v>832120043</v>
      </c>
      <c r="R87" t="s">
        <v>1664</v>
      </c>
      <c r="S87">
        <v>43</v>
      </c>
      <c r="T87" t="s">
        <v>115</v>
      </c>
    </row>
    <row r="88" spans="1:21">
      <c r="A88" s="140" t="str">
        <f>IF(E88="","",VLOOKUP('Opći dio'!$C$3,'Opći dio'!$L$6:$U$136,10,FALSE))</f>
        <v/>
      </c>
      <c r="B88" s="140" t="str">
        <f>IF(E88="","",VLOOKUP('Opći dio'!$C$3,'Opći dio'!$L$6:$U$136,9,FALSE))</f>
        <v/>
      </c>
      <c r="C88" s="200" t="str">
        <f t="shared" si="9"/>
        <v/>
      </c>
      <c r="D88" s="139" t="str">
        <f t="shared" si="10"/>
        <v/>
      </c>
      <c r="E88" s="151"/>
      <c r="F88" s="204" t="str">
        <f t="shared" si="11"/>
        <v/>
      </c>
      <c r="G88" s="196"/>
      <c r="H88" s="196"/>
      <c r="I88" s="196"/>
      <c r="K88" s="142" t="str">
        <f t="shared" si="12"/>
        <v/>
      </c>
      <c r="L88" s="142" t="str">
        <f t="shared" si="13"/>
        <v/>
      </c>
      <c r="Q88">
        <v>841320133</v>
      </c>
      <c r="R88" t="s">
        <v>1665</v>
      </c>
      <c r="S88">
        <v>83</v>
      </c>
      <c r="T88" t="s">
        <v>1646</v>
      </c>
    </row>
    <row r="89" spans="1:21">
      <c r="A89" s="140" t="str">
        <f>IF(E89="","",VLOOKUP('Opći dio'!$C$3,'Opći dio'!$L$6:$U$136,10,FALSE))</f>
        <v/>
      </c>
      <c r="B89" s="140" t="str">
        <f>IF(E89="","",VLOOKUP('Opći dio'!$C$3,'Opći dio'!$L$6:$U$136,9,FALSE))</f>
        <v/>
      </c>
      <c r="C89" s="200" t="str">
        <f t="shared" si="9"/>
        <v/>
      </c>
      <c r="D89" s="139" t="str">
        <f t="shared" si="10"/>
        <v/>
      </c>
      <c r="E89" s="151"/>
      <c r="F89" s="204" t="str">
        <f t="shared" si="11"/>
        <v/>
      </c>
      <c r="G89" s="196"/>
      <c r="H89" s="196"/>
      <c r="I89" s="196"/>
      <c r="K89" s="142" t="str">
        <f t="shared" si="12"/>
        <v/>
      </c>
      <c r="L89" s="142" t="str">
        <f t="shared" si="13"/>
        <v/>
      </c>
      <c r="Q89">
        <v>841320135</v>
      </c>
      <c r="R89" t="s">
        <v>1666</v>
      </c>
      <c r="S89">
        <v>83</v>
      </c>
      <c r="T89" t="s">
        <v>1646</v>
      </c>
    </row>
    <row r="90" spans="1:21">
      <c r="A90" s="140" t="str">
        <f>IF(E90="","",VLOOKUP('Opći dio'!$C$3,'Opći dio'!$L$6:$U$136,10,FALSE))</f>
        <v/>
      </c>
      <c r="B90" s="140" t="str">
        <f>IF(E90="","",VLOOKUP('Opći dio'!$C$3,'Opći dio'!$L$6:$U$136,9,FALSE))</f>
        <v/>
      </c>
      <c r="C90" s="200" t="str">
        <f t="shared" si="9"/>
        <v/>
      </c>
      <c r="D90" s="139" t="str">
        <f t="shared" si="10"/>
        <v/>
      </c>
      <c r="E90" s="151"/>
      <c r="F90" s="204" t="str">
        <f t="shared" si="11"/>
        <v/>
      </c>
      <c r="G90" s="196"/>
      <c r="H90" s="196"/>
      <c r="I90" s="196"/>
      <c r="K90" s="142" t="str">
        <f t="shared" si="12"/>
        <v/>
      </c>
      <c r="L90" s="142" t="str">
        <f t="shared" si="13"/>
        <v/>
      </c>
      <c r="Q90" s="197">
        <v>842220081</v>
      </c>
      <c r="R90" s="197" t="s">
        <v>384</v>
      </c>
      <c r="S90" s="197">
        <v>81</v>
      </c>
      <c r="T90" s="197" t="s">
        <v>75</v>
      </c>
      <c r="U90" t="str">
        <f>LEFT(Q90,3)</f>
        <v>842</v>
      </c>
    </row>
    <row r="91" spans="1:21">
      <c r="A91" s="140" t="str">
        <f>IF(E91="","",VLOOKUP('Opći dio'!$C$3,'Opći dio'!$L$6:$U$136,10,FALSE))</f>
        <v/>
      </c>
      <c r="B91" s="140" t="str">
        <f>IF(E91="","",VLOOKUP('Opći dio'!$C$3,'Opći dio'!$L$6:$U$136,9,FALSE))</f>
        <v/>
      </c>
      <c r="C91" s="200" t="str">
        <f t="shared" si="9"/>
        <v/>
      </c>
      <c r="D91" s="139" t="str">
        <f t="shared" si="10"/>
        <v/>
      </c>
      <c r="E91" s="151"/>
      <c r="F91" s="204" t="str">
        <f t="shared" si="11"/>
        <v/>
      </c>
      <c r="G91" s="196"/>
      <c r="H91" s="196"/>
      <c r="I91" s="196"/>
      <c r="K91" s="142" t="str">
        <f t="shared" si="12"/>
        <v/>
      </c>
      <c r="L91" s="142" t="str">
        <f t="shared" si="13"/>
        <v/>
      </c>
    </row>
    <row r="92" spans="1:21">
      <c r="A92" s="140" t="str">
        <f>IF(E92="","",VLOOKUP('Opći dio'!$C$3,'Opći dio'!$L$6:$U$136,10,FALSE))</f>
        <v/>
      </c>
      <c r="B92" s="140" t="str">
        <f>IF(E92="","",VLOOKUP('Opći dio'!$C$3,'Opći dio'!$L$6:$U$136,9,FALSE))</f>
        <v/>
      </c>
      <c r="C92" s="200" t="str">
        <f t="shared" si="9"/>
        <v/>
      </c>
      <c r="D92" s="139" t="str">
        <f t="shared" si="10"/>
        <v/>
      </c>
      <c r="E92" s="151"/>
      <c r="F92" s="204" t="str">
        <f t="shared" si="11"/>
        <v/>
      </c>
      <c r="G92" s="196"/>
      <c r="H92" s="196"/>
      <c r="I92" s="196"/>
      <c r="K92" s="142" t="str">
        <f t="shared" si="12"/>
        <v/>
      </c>
      <c r="L92" s="142" t="str">
        <f t="shared" si="13"/>
        <v/>
      </c>
    </row>
    <row r="93" spans="1:21">
      <c r="A93" s="140" t="str">
        <f>IF(E93="","",VLOOKUP('Opći dio'!$C$3,'Opći dio'!$L$6:$U$136,10,FALSE))</f>
        <v/>
      </c>
      <c r="B93" s="140" t="str">
        <f>IF(E93="","",VLOOKUP('Opći dio'!$C$3,'Opći dio'!$L$6:$U$136,9,FALSE))</f>
        <v/>
      </c>
      <c r="C93" s="200" t="str">
        <f t="shared" si="9"/>
        <v/>
      </c>
      <c r="D93" s="139" t="str">
        <f t="shared" si="10"/>
        <v/>
      </c>
      <c r="E93" s="151"/>
      <c r="F93" s="204" t="str">
        <f t="shared" si="11"/>
        <v/>
      </c>
      <c r="G93" s="196"/>
      <c r="H93" s="196"/>
      <c r="I93" s="196"/>
      <c r="K93" s="142" t="str">
        <f t="shared" si="12"/>
        <v/>
      </c>
      <c r="L93" s="142" t="str">
        <f t="shared" si="13"/>
        <v/>
      </c>
    </row>
    <row r="94" spans="1:21">
      <c r="A94" s="140" t="str">
        <f>IF(E94="","",VLOOKUP('Opći dio'!$C$3,'Opći dio'!$L$6:$U$136,10,FALSE))</f>
        <v/>
      </c>
      <c r="B94" s="140" t="str">
        <f>IF(E94="","",VLOOKUP('Opći dio'!$C$3,'Opći dio'!$L$6:$U$136,9,FALSE))</f>
        <v/>
      </c>
      <c r="C94" s="200" t="str">
        <f t="shared" si="9"/>
        <v/>
      </c>
      <c r="D94" s="139" t="str">
        <f t="shared" si="10"/>
        <v/>
      </c>
      <c r="E94" s="151"/>
      <c r="F94" s="204" t="str">
        <f t="shared" si="11"/>
        <v/>
      </c>
      <c r="G94" s="196"/>
      <c r="H94" s="196"/>
      <c r="I94" s="196"/>
      <c r="K94" s="142" t="str">
        <f t="shared" si="12"/>
        <v/>
      </c>
      <c r="L94" s="142" t="str">
        <f t="shared" si="13"/>
        <v/>
      </c>
    </row>
    <row r="95" spans="1:21">
      <c r="A95" s="140" t="str">
        <f>IF(E95="","",VLOOKUP('Opći dio'!$C$3,'Opći dio'!$L$6:$U$136,10,FALSE))</f>
        <v/>
      </c>
      <c r="B95" s="140" t="str">
        <f>IF(E95="","",VLOOKUP('Opći dio'!$C$3,'Opći dio'!$L$6:$U$136,9,FALSE))</f>
        <v/>
      </c>
      <c r="C95" s="200" t="str">
        <f t="shared" si="9"/>
        <v/>
      </c>
      <c r="D95" s="139" t="str">
        <f t="shared" si="10"/>
        <v/>
      </c>
      <c r="E95" s="151"/>
      <c r="F95" s="204" t="str">
        <f t="shared" si="11"/>
        <v/>
      </c>
      <c r="G95" s="196"/>
      <c r="H95" s="196"/>
      <c r="I95" s="196"/>
      <c r="K95" s="142" t="str">
        <f t="shared" si="12"/>
        <v/>
      </c>
      <c r="L95" s="142" t="str">
        <f t="shared" si="13"/>
        <v/>
      </c>
    </row>
    <row r="96" spans="1:21">
      <c r="A96" s="140" t="str">
        <f>IF(E96="","",VLOOKUP('Opći dio'!$C$3,'Opći dio'!$L$6:$U$136,10,FALSE))</f>
        <v/>
      </c>
      <c r="B96" s="140" t="str">
        <f>IF(E96="","",VLOOKUP('Opći dio'!$C$3,'Opći dio'!$L$6:$U$136,9,FALSE))</f>
        <v/>
      </c>
      <c r="C96" s="200" t="str">
        <f t="shared" si="9"/>
        <v/>
      </c>
      <c r="D96" s="139" t="str">
        <f t="shared" si="10"/>
        <v/>
      </c>
      <c r="E96" s="151"/>
      <c r="F96" s="204" t="str">
        <f t="shared" si="11"/>
        <v/>
      </c>
      <c r="G96" s="196"/>
      <c r="H96" s="196"/>
      <c r="I96" s="196"/>
      <c r="K96" s="142" t="str">
        <f t="shared" si="12"/>
        <v/>
      </c>
      <c r="L96" s="142" t="str">
        <f t="shared" si="13"/>
        <v/>
      </c>
    </row>
    <row r="97" spans="1:12">
      <c r="A97" s="140" t="str">
        <f>IF(E97="","",VLOOKUP('Opći dio'!$C$3,'Opći dio'!$L$6:$U$136,10,FALSE))</f>
        <v/>
      </c>
      <c r="B97" s="140" t="str">
        <f>IF(E97="","",VLOOKUP('Opći dio'!$C$3,'Opći dio'!$L$6:$U$136,9,FALSE))</f>
        <v/>
      </c>
      <c r="C97" s="200" t="str">
        <f t="shared" si="9"/>
        <v/>
      </c>
      <c r="D97" s="139" t="str">
        <f t="shared" si="10"/>
        <v/>
      </c>
      <c r="E97" s="151"/>
      <c r="F97" s="204" t="str">
        <f t="shared" si="11"/>
        <v/>
      </c>
      <c r="G97" s="196"/>
      <c r="H97" s="196"/>
      <c r="I97" s="196"/>
      <c r="K97" s="142" t="str">
        <f t="shared" si="12"/>
        <v/>
      </c>
      <c r="L97" s="142" t="str">
        <f t="shared" si="13"/>
        <v/>
      </c>
    </row>
    <row r="98" spans="1:12">
      <c r="A98" s="140" t="str">
        <f>IF(E98="","",VLOOKUP('Opći dio'!$C$3,'Opći dio'!$L$6:$U$136,10,FALSE))</f>
        <v/>
      </c>
      <c r="B98" s="140" t="str">
        <f>IF(E98="","",VLOOKUP('Opći dio'!$C$3,'Opći dio'!$L$6:$U$136,9,FALSE))</f>
        <v/>
      </c>
      <c r="C98" s="200" t="str">
        <f t="shared" si="9"/>
        <v/>
      </c>
      <c r="D98" s="139" t="str">
        <f t="shared" si="10"/>
        <v/>
      </c>
      <c r="E98" s="151"/>
      <c r="F98" s="204" t="str">
        <f t="shared" si="11"/>
        <v/>
      </c>
      <c r="G98" s="196"/>
      <c r="H98" s="196"/>
      <c r="I98" s="196"/>
      <c r="K98" s="142" t="str">
        <f t="shared" si="12"/>
        <v/>
      </c>
      <c r="L98" s="142" t="str">
        <f t="shared" si="13"/>
        <v/>
      </c>
    </row>
    <row r="99" spans="1:12">
      <c r="A99" s="140" t="str">
        <f>IF(E99="","",VLOOKUP('Opći dio'!$C$3,'Opći dio'!$L$6:$U$136,10,FALSE))</f>
        <v/>
      </c>
      <c r="B99" s="140" t="str">
        <f>IF(E99="","",VLOOKUP('Opći dio'!$C$3,'Opći dio'!$L$6:$U$136,9,FALSE))</f>
        <v/>
      </c>
      <c r="C99" s="200" t="str">
        <f t="shared" si="9"/>
        <v/>
      </c>
      <c r="D99" s="139" t="str">
        <f t="shared" si="10"/>
        <v/>
      </c>
      <c r="E99" s="151"/>
      <c r="F99" s="204" t="str">
        <f t="shared" si="11"/>
        <v/>
      </c>
      <c r="G99" s="196"/>
      <c r="H99" s="196"/>
      <c r="I99" s="196"/>
      <c r="K99" s="142" t="str">
        <f t="shared" si="12"/>
        <v/>
      </c>
      <c r="L99" s="142" t="str">
        <f t="shared" si="13"/>
        <v/>
      </c>
    </row>
    <row r="100" spans="1:12">
      <c r="A100" s="140" t="str">
        <f>IF(E100="","",VLOOKUP('Opći dio'!$C$3,'Opći dio'!$L$6:$U$136,10,FALSE))</f>
        <v/>
      </c>
      <c r="B100" s="140" t="str">
        <f>IF(E100="","",VLOOKUP('Opći dio'!$C$3,'Opći dio'!$L$6:$U$136,9,FALSE))</f>
        <v/>
      </c>
      <c r="C100" s="200" t="str">
        <f t="shared" si="9"/>
        <v/>
      </c>
      <c r="D100" s="139" t="str">
        <f t="shared" si="10"/>
        <v/>
      </c>
      <c r="E100" s="151"/>
      <c r="F100" s="204" t="str">
        <f t="shared" si="11"/>
        <v/>
      </c>
      <c r="G100" s="196"/>
      <c r="H100" s="196"/>
      <c r="I100" s="196"/>
      <c r="K100" s="142" t="str">
        <f t="shared" si="12"/>
        <v/>
      </c>
      <c r="L100" s="142" t="str">
        <f t="shared" si="13"/>
        <v/>
      </c>
    </row>
    <row r="101" spans="1:12">
      <c r="A101" s="140" t="str">
        <f>IF(E101="","",VLOOKUP('Opći dio'!$C$3,'Opći dio'!$L$6:$U$136,10,FALSE))</f>
        <v/>
      </c>
      <c r="B101" s="140" t="str">
        <f>IF(E101="","",VLOOKUP('Opći dio'!$C$3,'Opći dio'!$L$6:$U$136,9,FALSE))</f>
        <v/>
      </c>
      <c r="C101" s="200" t="str">
        <f t="shared" si="9"/>
        <v/>
      </c>
      <c r="D101" s="139" t="str">
        <f t="shared" si="10"/>
        <v/>
      </c>
      <c r="E101" s="151"/>
      <c r="F101" s="204" t="str">
        <f t="shared" si="11"/>
        <v/>
      </c>
      <c r="G101" s="196"/>
      <c r="H101" s="196"/>
      <c r="I101" s="196"/>
      <c r="K101" s="142" t="str">
        <f t="shared" si="12"/>
        <v/>
      </c>
      <c r="L101" s="142" t="str">
        <f t="shared" si="13"/>
        <v/>
      </c>
    </row>
    <row r="102" spans="1:12">
      <c r="A102" s="140" t="str">
        <f>IF(E102="","",VLOOKUP('Opći dio'!$C$3,'Opći dio'!$L$6:$U$136,10,FALSE))</f>
        <v/>
      </c>
      <c r="B102" s="140" t="str">
        <f>IF(E102="","",VLOOKUP('Opći dio'!$C$3,'Opći dio'!$L$6:$U$136,9,FALSE))</f>
        <v/>
      </c>
      <c r="C102" s="200" t="str">
        <f t="shared" si="9"/>
        <v/>
      </c>
      <c r="D102" s="139" t="str">
        <f t="shared" si="10"/>
        <v/>
      </c>
      <c r="E102" s="151"/>
      <c r="F102" s="204" t="str">
        <f t="shared" si="11"/>
        <v/>
      </c>
      <c r="G102" s="196"/>
      <c r="H102" s="196"/>
      <c r="I102" s="196"/>
      <c r="K102" s="142" t="str">
        <f t="shared" si="12"/>
        <v/>
      </c>
      <c r="L102" s="142" t="str">
        <f t="shared" si="13"/>
        <v/>
      </c>
    </row>
    <row r="103" spans="1:12">
      <c r="A103" s="140" t="str">
        <f>IF(E103="","",VLOOKUP('Opći dio'!$C$3,'Opći dio'!$L$6:$U$136,10,FALSE))</f>
        <v/>
      </c>
      <c r="B103" s="140" t="str">
        <f>IF(E103="","",VLOOKUP('Opći dio'!$C$3,'Opći dio'!$L$6:$U$136,9,FALSE))</f>
        <v/>
      </c>
      <c r="C103" s="200" t="str">
        <f t="shared" si="9"/>
        <v/>
      </c>
      <c r="D103" s="139" t="str">
        <f t="shared" si="10"/>
        <v/>
      </c>
      <c r="E103" s="151"/>
      <c r="F103" s="204" t="str">
        <f t="shared" si="11"/>
        <v/>
      </c>
      <c r="G103" s="196"/>
      <c r="H103" s="196"/>
      <c r="I103" s="196"/>
      <c r="K103" s="142" t="str">
        <f t="shared" si="12"/>
        <v/>
      </c>
      <c r="L103" s="142" t="str">
        <f t="shared" si="13"/>
        <v/>
      </c>
    </row>
    <row r="104" spans="1:12">
      <c r="A104" s="140" t="str">
        <f>IF(E104="","",VLOOKUP('Opći dio'!$C$3,'Opći dio'!$L$6:$U$136,10,FALSE))</f>
        <v/>
      </c>
      <c r="B104" s="140" t="str">
        <f>IF(E104="","",VLOOKUP('Opći dio'!$C$3,'Opći dio'!$L$6:$U$136,9,FALSE))</f>
        <v/>
      </c>
      <c r="C104" s="200" t="str">
        <f t="shared" si="9"/>
        <v/>
      </c>
      <c r="D104" s="139" t="str">
        <f t="shared" si="10"/>
        <v/>
      </c>
      <c r="E104" s="151"/>
      <c r="F104" s="204" t="str">
        <f t="shared" si="11"/>
        <v/>
      </c>
      <c r="G104" s="196"/>
      <c r="H104" s="196"/>
      <c r="I104" s="196"/>
      <c r="K104" s="142" t="str">
        <f t="shared" si="12"/>
        <v/>
      </c>
      <c r="L104" s="142" t="str">
        <f t="shared" si="13"/>
        <v/>
      </c>
    </row>
    <row r="105" spans="1:12">
      <c r="A105" s="140" t="str">
        <f>IF(E105="","",VLOOKUP('Opći dio'!$C$3,'Opći dio'!$L$6:$U$136,10,FALSE))</f>
        <v/>
      </c>
      <c r="B105" s="140" t="str">
        <f>IF(E105="","",VLOOKUP('Opći dio'!$C$3,'Opći dio'!$L$6:$U$136,9,FALSE))</f>
        <v/>
      </c>
      <c r="C105" s="200" t="str">
        <f t="shared" si="9"/>
        <v/>
      </c>
      <c r="D105" s="139" t="str">
        <f t="shared" si="10"/>
        <v/>
      </c>
      <c r="E105" s="151"/>
      <c r="F105" s="204" t="str">
        <f t="shared" si="11"/>
        <v/>
      </c>
      <c r="G105" s="196"/>
      <c r="H105" s="196"/>
      <c r="I105" s="196"/>
      <c r="K105" s="142" t="str">
        <f t="shared" si="12"/>
        <v/>
      </c>
      <c r="L105" s="142" t="str">
        <f t="shared" si="13"/>
        <v/>
      </c>
    </row>
    <row r="106" spans="1:12">
      <c r="A106" s="140" t="str">
        <f>IF(E106="","",VLOOKUP('Opći dio'!$C$3,'Opći dio'!$L$6:$U$136,10,FALSE))</f>
        <v/>
      </c>
      <c r="B106" s="140" t="str">
        <f>IF(E106="","",VLOOKUP('Opći dio'!$C$3,'Opći dio'!$L$6:$U$136,9,FALSE))</f>
        <v/>
      </c>
      <c r="C106" s="200" t="str">
        <f t="shared" si="9"/>
        <v/>
      </c>
      <c r="D106" s="139" t="str">
        <f t="shared" si="10"/>
        <v/>
      </c>
      <c r="E106" s="151"/>
      <c r="F106" s="204" t="str">
        <f t="shared" si="11"/>
        <v/>
      </c>
      <c r="G106" s="196"/>
      <c r="H106" s="196"/>
      <c r="I106" s="196"/>
      <c r="K106" s="142" t="str">
        <f t="shared" si="12"/>
        <v/>
      </c>
      <c r="L106" s="142" t="str">
        <f t="shared" si="13"/>
        <v/>
      </c>
    </row>
    <row r="107" spans="1:12">
      <c r="A107" s="140" t="str">
        <f>IF(E107="","",VLOOKUP('Opći dio'!$C$3,'Opći dio'!$L$6:$U$136,10,FALSE))</f>
        <v/>
      </c>
      <c r="B107" s="140" t="str">
        <f>IF(E107="","",VLOOKUP('Opći dio'!$C$3,'Opći dio'!$L$6:$U$136,9,FALSE))</f>
        <v/>
      </c>
      <c r="C107" s="200" t="str">
        <f t="shared" si="9"/>
        <v/>
      </c>
      <c r="D107" s="139" t="str">
        <f t="shared" si="10"/>
        <v/>
      </c>
      <c r="E107" s="151"/>
      <c r="F107" s="204" t="str">
        <f t="shared" si="11"/>
        <v/>
      </c>
      <c r="G107" s="196"/>
      <c r="H107" s="196"/>
      <c r="I107" s="196"/>
      <c r="K107" s="142" t="str">
        <f t="shared" si="12"/>
        <v/>
      </c>
      <c r="L107" s="142" t="str">
        <f t="shared" si="13"/>
        <v/>
      </c>
    </row>
    <row r="108" spans="1:12">
      <c r="A108" s="140" t="str">
        <f>IF(E108="","",VLOOKUP('Opći dio'!$C$3,'Opći dio'!$L$6:$U$136,10,FALSE))</f>
        <v/>
      </c>
      <c r="B108" s="140" t="str">
        <f>IF(E108="","",VLOOKUP('Opći dio'!$C$3,'Opći dio'!$L$6:$U$136,9,FALSE))</f>
        <v/>
      </c>
      <c r="C108" s="200" t="str">
        <f t="shared" si="9"/>
        <v/>
      </c>
      <c r="D108" s="139" t="str">
        <f t="shared" si="10"/>
        <v/>
      </c>
      <c r="E108" s="151"/>
      <c r="F108" s="204" t="str">
        <f t="shared" si="11"/>
        <v/>
      </c>
      <c r="G108" s="196"/>
      <c r="H108" s="196"/>
      <c r="I108" s="196"/>
      <c r="K108" s="142" t="str">
        <f t="shared" si="12"/>
        <v/>
      </c>
      <c r="L108" s="142" t="str">
        <f t="shared" si="13"/>
        <v/>
      </c>
    </row>
    <row r="109" spans="1:12">
      <c r="A109" s="140" t="str">
        <f>IF(E109="","",VLOOKUP('Opći dio'!$C$3,'Opći dio'!$L$6:$U$136,10,FALSE))</f>
        <v/>
      </c>
      <c r="B109" s="140" t="str">
        <f>IF(E109="","",VLOOKUP('Opći dio'!$C$3,'Opći dio'!$L$6:$U$136,9,FALSE))</f>
        <v/>
      </c>
      <c r="C109" s="200" t="str">
        <f t="shared" si="9"/>
        <v/>
      </c>
      <c r="D109" s="139" t="str">
        <f t="shared" si="10"/>
        <v/>
      </c>
      <c r="E109" s="151"/>
      <c r="F109" s="204" t="str">
        <f t="shared" si="11"/>
        <v/>
      </c>
      <c r="G109" s="196"/>
      <c r="H109" s="196"/>
      <c r="I109" s="196"/>
      <c r="K109" s="142" t="str">
        <f t="shared" si="12"/>
        <v/>
      </c>
      <c r="L109" s="142" t="str">
        <f t="shared" si="13"/>
        <v/>
      </c>
    </row>
    <row r="110" spans="1:12">
      <c r="A110" s="140" t="str">
        <f>IF(E110="","",VLOOKUP('Opći dio'!$C$3,'Opći dio'!$L$6:$U$136,10,FALSE))</f>
        <v/>
      </c>
      <c r="B110" s="140" t="str">
        <f>IF(E110="","",VLOOKUP('Opći dio'!$C$3,'Opći dio'!$L$6:$U$136,9,FALSE))</f>
        <v/>
      </c>
      <c r="C110" s="200" t="str">
        <f t="shared" si="9"/>
        <v/>
      </c>
      <c r="D110" s="139" t="str">
        <f t="shared" si="10"/>
        <v/>
      </c>
      <c r="E110" s="151"/>
      <c r="F110" s="204" t="str">
        <f t="shared" si="11"/>
        <v/>
      </c>
      <c r="G110" s="196"/>
      <c r="H110" s="196"/>
      <c r="I110" s="196"/>
      <c r="K110" s="142" t="str">
        <f t="shared" si="12"/>
        <v/>
      </c>
      <c r="L110" s="142" t="str">
        <f t="shared" si="13"/>
        <v/>
      </c>
    </row>
    <row r="111" spans="1:12">
      <c r="A111" s="140" t="str">
        <f>IF(E111="","",VLOOKUP('Opći dio'!$C$3,'Opći dio'!$L$6:$U$136,10,FALSE))</f>
        <v/>
      </c>
      <c r="B111" s="140" t="str">
        <f>IF(E111="","",VLOOKUP('Opći dio'!$C$3,'Opći dio'!$L$6:$U$136,9,FALSE))</f>
        <v/>
      </c>
      <c r="C111" s="200" t="str">
        <f t="shared" si="9"/>
        <v/>
      </c>
      <c r="D111" s="139" t="str">
        <f t="shared" si="10"/>
        <v/>
      </c>
      <c r="E111" s="151"/>
      <c r="F111" s="204" t="str">
        <f t="shared" si="11"/>
        <v/>
      </c>
      <c r="G111" s="196"/>
      <c r="H111" s="196"/>
      <c r="I111" s="196"/>
      <c r="K111" s="142" t="str">
        <f t="shared" si="12"/>
        <v/>
      </c>
      <c r="L111" s="142" t="str">
        <f t="shared" si="13"/>
        <v/>
      </c>
    </row>
    <row r="112" spans="1:12">
      <c r="A112" s="140" t="str">
        <f>IF(E112="","",VLOOKUP('Opći dio'!$C$3,'Opći dio'!$L$6:$U$136,10,FALSE))</f>
        <v/>
      </c>
      <c r="B112" s="140" t="str">
        <f>IF(E112="","",VLOOKUP('Opći dio'!$C$3,'Opći dio'!$L$6:$U$136,9,FALSE))</f>
        <v/>
      </c>
      <c r="C112" s="200" t="str">
        <f t="shared" si="9"/>
        <v/>
      </c>
      <c r="D112" s="139" t="str">
        <f t="shared" si="10"/>
        <v/>
      </c>
      <c r="E112" s="151"/>
      <c r="F112" s="204" t="str">
        <f t="shared" si="11"/>
        <v/>
      </c>
      <c r="G112" s="196"/>
      <c r="H112" s="196"/>
      <c r="I112" s="196"/>
      <c r="K112" s="142" t="str">
        <f t="shared" si="12"/>
        <v/>
      </c>
      <c r="L112" s="142" t="str">
        <f t="shared" si="13"/>
        <v/>
      </c>
    </row>
    <row r="113" spans="1:12">
      <c r="A113" s="140" t="str">
        <f>IF(E113="","",VLOOKUP('Opći dio'!$C$3,'Opći dio'!$L$6:$U$136,10,FALSE))</f>
        <v/>
      </c>
      <c r="B113" s="140" t="str">
        <f>IF(E113="","",VLOOKUP('Opći dio'!$C$3,'Opći dio'!$L$6:$U$136,9,FALSE))</f>
        <v/>
      </c>
      <c r="C113" s="200" t="str">
        <f t="shared" si="9"/>
        <v/>
      </c>
      <c r="D113" s="139" t="str">
        <f t="shared" si="10"/>
        <v/>
      </c>
      <c r="E113" s="151"/>
      <c r="F113" s="204" t="str">
        <f t="shared" si="11"/>
        <v/>
      </c>
      <c r="G113" s="196"/>
      <c r="H113" s="196"/>
      <c r="I113" s="196"/>
      <c r="K113" s="142" t="str">
        <f t="shared" si="12"/>
        <v/>
      </c>
      <c r="L113" s="142" t="str">
        <f t="shared" si="13"/>
        <v/>
      </c>
    </row>
    <row r="114" spans="1:12">
      <c r="A114" s="140" t="str">
        <f>IF(E114="","",VLOOKUP('Opći dio'!$C$3,'Opći dio'!$L$6:$U$136,10,FALSE))</f>
        <v/>
      </c>
      <c r="B114" s="140" t="str">
        <f>IF(E114="","",VLOOKUP('Opći dio'!$C$3,'Opći dio'!$L$6:$U$136,9,FALSE))</f>
        <v/>
      </c>
      <c r="C114" s="200" t="str">
        <f t="shared" si="9"/>
        <v/>
      </c>
      <c r="D114" s="139" t="str">
        <f t="shared" si="10"/>
        <v/>
      </c>
      <c r="E114" s="151"/>
      <c r="F114" s="204" t="str">
        <f t="shared" si="11"/>
        <v/>
      </c>
      <c r="G114" s="196"/>
      <c r="H114" s="196"/>
      <c r="I114" s="196"/>
      <c r="K114" s="142" t="str">
        <f t="shared" si="12"/>
        <v/>
      </c>
      <c r="L114" s="142" t="str">
        <f t="shared" si="13"/>
        <v/>
      </c>
    </row>
    <row r="115" spans="1:12">
      <c r="A115" s="140" t="str">
        <f>IF(E115="","",VLOOKUP('Opći dio'!$C$3,'Opći dio'!$L$6:$U$136,10,FALSE))</f>
        <v/>
      </c>
      <c r="B115" s="140" t="str">
        <f>IF(E115="","",VLOOKUP('Opći dio'!$C$3,'Opći dio'!$L$6:$U$136,9,FALSE))</f>
        <v/>
      </c>
      <c r="C115" s="200" t="str">
        <f t="shared" si="9"/>
        <v/>
      </c>
      <c r="D115" s="139" t="str">
        <f t="shared" si="10"/>
        <v/>
      </c>
      <c r="E115" s="151"/>
      <c r="F115" s="204" t="str">
        <f t="shared" si="11"/>
        <v/>
      </c>
      <c r="G115" s="196"/>
      <c r="H115" s="196"/>
      <c r="I115" s="196"/>
      <c r="K115" s="142" t="str">
        <f t="shared" si="12"/>
        <v/>
      </c>
      <c r="L115" s="142" t="str">
        <f t="shared" si="13"/>
        <v/>
      </c>
    </row>
    <row r="116" spans="1:12">
      <c r="A116" s="140" t="str">
        <f>IF(E116="","",VLOOKUP('Opći dio'!$C$3,'Opći dio'!$L$6:$U$136,10,FALSE))</f>
        <v/>
      </c>
      <c r="B116" s="140" t="str">
        <f>IF(E116="","",VLOOKUP('Opći dio'!$C$3,'Opći dio'!$L$6:$U$136,9,FALSE))</f>
        <v/>
      </c>
      <c r="C116" s="200" t="str">
        <f t="shared" si="9"/>
        <v/>
      </c>
      <c r="D116" s="139" t="str">
        <f t="shared" si="10"/>
        <v/>
      </c>
      <c r="E116" s="151"/>
      <c r="F116" s="204" t="str">
        <f t="shared" si="11"/>
        <v/>
      </c>
      <c r="G116" s="196"/>
      <c r="H116" s="196"/>
      <c r="I116" s="196"/>
      <c r="K116" s="142" t="str">
        <f t="shared" si="12"/>
        <v/>
      </c>
      <c r="L116" s="142" t="str">
        <f t="shared" si="13"/>
        <v/>
      </c>
    </row>
    <row r="117" spans="1:12">
      <c r="A117" s="140" t="str">
        <f>IF(E117="","",VLOOKUP('Opći dio'!$C$3,'Opći dio'!$L$6:$U$136,10,FALSE))</f>
        <v/>
      </c>
      <c r="B117" s="140" t="str">
        <f>IF(E117="","",VLOOKUP('Opći dio'!$C$3,'Opći dio'!$L$6:$U$136,9,FALSE))</f>
        <v/>
      </c>
      <c r="C117" s="200" t="str">
        <f t="shared" si="9"/>
        <v/>
      </c>
      <c r="D117" s="139" t="str">
        <f t="shared" si="10"/>
        <v/>
      </c>
      <c r="E117" s="151"/>
      <c r="F117" s="204" t="str">
        <f t="shared" si="11"/>
        <v/>
      </c>
      <c r="G117" s="196"/>
      <c r="H117" s="196"/>
      <c r="I117" s="196"/>
      <c r="K117" s="142" t="str">
        <f t="shared" si="12"/>
        <v/>
      </c>
      <c r="L117" s="142" t="str">
        <f t="shared" si="13"/>
        <v/>
      </c>
    </row>
    <row r="118" spans="1:12">
      <c r="A118" s="140" t="str">
        <f>IF(E118="","",VLOOKUP('Opći dio'!$C$3,'Opći dio'!$L$6:$U$136,10,FALSE))</f>
        <v/>
      </c>
      <c r="B118" s="140" t="str">
        <f>IF(E118="","",VLOOKUP('Opći dio'!$C$3,'Opći dio'!$L$6:$U$136,9,FALSE))</f>
        <v/>
      </c>
      <c r="C118" s="200" t="str">
        <f t="shared" si="9"/>
        <v/>
      </c>
      <c r="D118" s="139" t="str">
        <f t="shared" si="10"/>
        <v/>
      </c>
      <c r="E118" s="151"/>
      <c r="F118" s="204" t="str">
        <f t="shared" si="11"/>
        <v/>
      </c>
      <c r="G118" s="196"/>
      <c r="H118" s="196"/>
      <c r="I118" s="196"/>
      <c r="K118" s="142" t="str">
        <f t="shared" si="12"/>
        <v/>
      </c>
      <c r="L118" s="142" t="str">
        <f t="shared" si="13"/>
        <v/>
      </c>
    </row>
    <row r="119" spans="1:12">
      <c r="A119" s="140" t="str">
        <f>IF(E119="","",VLOOKUP('Opći dio'!$C$3,'Opći dio'!$L$6:$U$136,10,FALSE))</f>
        <v/>
      </c>
      <c r="B119" s="140" t="str">
        <f>IF(E119="","",VLOOKUP('Opći dio'!$C$3,'Opći dio'!$L$6:$U$136,9,FALSE))</f>
        <v/>
      </c>
      <c r="C119" s="200" t="str">
        <f t="shared" si="9"/>
        <v/>
      </c>
      <c r="D119" s="139" t="str">
        <f t="shared" si="10"/>
        <v/>
      </c>
      <c r="E119" s="151"/>
      <c r="F119" s="204" t="str">
        <f t="shared" si="11"/>
        <v/>
      </c>
      <c r="G119" s="196"/>
      <c r="H119" s="196"/>
      <c r="I119" s="196"/>
      <c r="K119" s="142" t="str">
        <f t="shared" si="12"/>
        <v/>
      </c>
      <c r="L119" s="142" t="str">
        <f t="shared" si="13"/>
        <v/>
      </c>
    </row>
    <row r="120" spans="1:12">
      <c r="A120" s="140" t="str">
        <f>IF(E120="","",VLOOKUP('Opći dio'!$C$3,'Opći dio'!$L$6:$U$136,10,FALSE))</f>
        <v/>
      </c>
      <c r="B120" s="140" t="str">
        <f>IF(E120="","",VLOOKUP('Opći dio'!$C$3,'Opći dio'!$L$6:$U$136,9,FALSE))</f>
        <v/>
      </c>
      <c r="C120" s="200" t="str">
        <f t="shared" si="9"/>
        <v/>
      </c>
      <c r="D120" s="139" t="str">
        <f t="shared" si="10"/>
        <v/>
      </c>
      <c r="E120" s="151"/>
      <c r="F120" s="204" t="str">
        <f t="shared" si="11"/>
        <v/>
      </c>
      <c r="G120" s="196"/>
      <c r="H120" s="196"/>
      <c r="I120" s="196"/>
      <c r="K120" s="142" t="str">
        <f t="shared" si="12"/>
        <v/>
      </c>
      <c r="L120" s="142" t="str">
        <f t="shared" si="13"/>
        <v/>
      </c>
    </row>
    <row r="121" spans="1:12">
      <c r="A121" s="140" t="str">
        <f>IF(E121="","",VLOOKUP('Opći dio'!$C$3,'Opći dio'!$L$6:$U$136,10,FALSE))</f>
        <v/>
      </c>
      <c r="B121" s="140" t="str">
        <f>IF(E121="","",VLOOKUP('Opći dio'!$C$3,'Opći dio'!$L$6:$U$136,9,FALSE))</f>
        <v/>
      </c>
      <c r="C121" s="200" t="str">
        <f t="shared" si="9"/>
        <v/>
      </c>
      <c r="D121" s="139" t="str">
        <f t="shared" si="10"/>
        <v/>
      </c>
      <c r="E121" s="151"/>
      <c r="F121" s="204" t="str">
        <f t="shared" si="11"/>
        <v/>
      </c>
      <c r="G121" s="196"/>
      <c r="H121" s="196"/>
      <c r="I121" s="196"/>
      <c r="K121" s="142" t="str">
        <f t="shared" si="12"/>
        <v/>
      </c>
      <c r="L121" s="142" t="str">
        <f t="shared" si="13"/>
        <v/>
      </c>
    </row>
    <row r="122" spans="1:12">
      <c r="A122" s="140" t="str">
        <f>IF(E122="","",VLOOKUP('Opći dio'!$C$3,'Opći dio'!$L$6:$U$136,10,FALSE))</f>
        <v/>
      </c>
      <c r="B122" s="140" t="str">
        <f>IF(E122="","",VLOOKUP('Opći dio'!$C$3,'Opći dio'!$L$6:$U$136,9,FALSE))</f>
        <v/>
      </c>
      <c r="C122" s="200" t="str">
        <f t="shared" si="9"/>
        <v/>
      </c>
      <c r="D122" s="139" t="str">
        <f t="shared" si="10"/>
        <v/>
      </c>
      <c r="E122" s="151"/>
      <c r="F122" s="204" t="str">
        <f t="shared" si="11"/>
        <v/>
      </c>
      <c r="G122" s="196"/>
      <c r="H122" s="196"/>
      <c r="I122" s="196"/>
      <c r="K122" s="142" t="str">
        <f t="shared" si="12"/>
        <v/>
      </c>
      <c r="L122" s="142" t="str">
        <f t="shared" si="13"/>
        <v/>
      </c>
    </row>
    <row r="123" spans="1:12">
      <c r="A123" s="140" t="str">
        <f>IF(E123="","",VLOOKUP('Opći dio'!$C$3,'Opći dio'!$L$6:$U$136,10,FALSE))</f>
        <v/>
      </c>
      <c r="B123" s="140" t="str">
        <f>IF(E123="","",VLOOKUP('Opći dio'!$C$3,'Opći dio'!$L$6:$U$136,9,FALSE))</f>
        <v/>
      </c>
      <c r="C123" s="200" t="str">
        <f t="shared" si="9"/>
        <v/>
      </c>
      <c r="D123" s="139" t="str">
        <f t="shared" si="10"/>
        <v/>
      </c>
      <c r="E123" s="151"/>
      <c r="F123" s="204" t="str">
        <f t="shared" si="11"/>
        <v/>
      </c>
      <c r="G123" s="196"/>
      <c r="H123" s="196"/>
      <c r="I123" s="196"/>
      <c r="K123" s="142" t="str">
        <f t="shared" si="12"/>
        <v/>
      </c>
      <c r="L123" s="142" t="str">
        <f t="shared" si="13"/>
        <v/>
      </c>
    </row>
    <row r="124" spans="1:12">
      <c r="A124" s="140" t="str">
        <f>IF(E124="","",VLOOKUP('Opći dio'!$C$3,'Opći dio'!$L$6:$U$136,10,FALSE))</f>
        <v/>
      </c>
      <c r="B124" s="140" t="str">
        <f>IF(E124="","",VLOOKUP('Opći dio'!$C$3,'Opći dio'!$L$6:$U$136,9,FALSE))</f>
        <v/>
      </c>
      <c r="C124" s="200" t="str">
        <f t="shared" si="9"/>
        <v/>
      </c>
      <c r="D124" s="139" t="str">
        <f t="shared" si="10"/>
        <v/>
      </c>
      <c r="E124" s="151"/>
      <c r="F124" s="204" t="str">
        <f t="shared" si="11"/>
        <v/>
      </c>
      <c r="G124" s="196"/>
      <c r="H124" s="196"/>
      <c r="I124" s="196"/>
      <c r="K124" s="142" t="str">
        <f t="shared" si="12"/>
        <v/>
      </c>
      <c r="L124" s="142" t="str">
        <f t="shared" si="13"/>
        <v/>
      </c>
    </row>
    <row r="125" spans="1:12">
      <c r="A125" s="140" t="str">
        <f>IF(E125="","",VLOOKUP('Opći dio'!$C$3,'Opći dio'!$L$6:$U$136,10,FALSE))</f>
        <v/>
      </c>
      <c r="B125" s="140" t="str">
        <f>IF(E125="","",VLOOKUP('Opći dio'!$C$3,'Opći dio'!$L$6:$U$136,9,FALSE))</f>
        <v/>
      </c>
      <c r="C125" s="200" t="str">
        <f t="shared" si="9"/>
        <v/>
      </c>
      <c r="D125" s="139" t="str">
        <f t="shared" si="10"/>
        <v/>
      </c>
      <c r="E125" s="151"/>
      <c r="F125" s="204" t="str">
        <f t="shared" si="11"/>
        <v/>
      </c>
      <c r="G125" s="196"/>
      <c r="H125" s="196"/>
      <c r="I125" s="196"/>
      <c r="K125" s="142" t="str">
        <f t="shared" si="12"/>
        <v/>
      </c>
      <c r="L125" s="142" t="str">
        <f t="shared" si="13"/>
        <v/>
      </c>
    </row>
    <row r="126" spans="1:12">
      <c r="A126" s="140" t="str">
        <f>IF(E126="","",VLOOKUP('Opći dio'!$C$3,'Opći dio'!$L$6:$U$136,10,FALSE))</f>
        <v/>
      </c>
      <c r="B126" s="140" t="str">
        <f>IF(E126="","",VLOOKUP('Opći dio'!$C$3,'Opći dio'!$L$6:$U$136,9,FALSE))</f>
        <v/>
      </c>
      <c r="C126" s="200" t="str">
        <f t="shared" si="9"/>
        <v/>
      </c>
      <c r="D126" s="139" t="str">
        <f t="shared" si="10"/>
        <v/>
      </c>
      <c r="E126" s="151"/>
      <c r="F126" s="204" t="str">
        <f t="shared" si="11"/>
        <v/>
      </c>
      <c r="G126" s="196"/>
      <c r="H126" s="196"/>
      <c r="I126" s="196"/>
      <c r="K126" s="142" t="str">
        <f t="shared" si="12"/>
        <v/>
      </c>
      <c r="L126" s="142" t="str">
        <f t="shared" si="13"/>
        <v/>
      </c>
    </row>
    <row r="127" spans="1:12">
      <c r="A127" s="140" t="str">
        <f>IF(E127="","",VLOOKUP('Opći dio'!$C$3,'Opći dio'!$L$6:$U$136,10,FALSE))</f>
        <v/>
      </c>
      <c r="B127" s="140" t="str">
        <f>IF(E127="","",VLOOKUP('Opći dio'!$C$3,'Opći dio'!$L$6:$U$136,9,FALSE))</f>
        <v/>
      </c>
      <c r="C127" s="200" t="str">
        <f t="shared" si="9"/>
        <v/>
      </c>
      <c r="D127" s="139" t="str">
        <f t="shared" si="10"/>
        <v/>
      </c>
      <c r="E127" s="151"/>
      <c r="F127" s="204" t="str">
        <f t="shared" si="11"/>
        <v/>
      </c>
      <c r="G127" s="196"/>
      <c r="H127" s="196"/>
      <c r="I127" s="196"/>
      <c r="K127" s="142" t="str">
        <f t="shared" si="12"/>
        <v/>
      </c>
      <c r="L127" s="142" t="str">
        <f t="shared" si="13"/>
        <v/>
      </c>
    </row>
    <row r="128" spans="1:12">
      <c r="A128" s="140" t="str">
        <f>IF(E128="","",VLOOKUP('Opći dio'!$C$3,'Opći dio'!$L$6:$U$136,10,FALSE))</f>
        <v/>
      </c>
      <c r="B128" s="140" t="str">
        <f>IF(E128="","",VLOOKUP('Opći dio'!$C$3,'Opći dio'!$L$6:$U$136,9,FALSE))</f>
        <v/>
      </c>
      <c r="C128" s="200" t="str">
        <f t="shared" si="9"/>
        <v/>
      </c>
      <c r="D128" s="139" t="str">
        <f t="shared" si="10"/>
        <v/>
      </c>
      <c r="E128" s="151"/>
      <c r="F128" s="204" t="str">
        <f t="shared" si="11"/>
        <v/>
      </c>
      <c r="G128" s="196"/>
      <c r="H128" s="196"/>
      <c r="I128" s="196"/>
      <c r="K128" s="142" t="str">
        <f t="shared" si="12"/>
        <v/>
      </c>
      <c r="L128" s="142" t="str">
        <f t="shared" si="13"/>
        <v/>
      </c>
    </row>
    <row r="129" spans="1:12">
      <c r="A129" s="140" t="str">
        <f>IF(E129="","",VLOOKUP('Opći dio'!$C$3,'Opći dio'!$L$6:$U$136,10,FALSE))</f>
        <v/>
      </c>
      <c r="B129" s="140" t="str">
        <f>IF(E129="","",VLOOKUP('Opći dio'!$C$3,'Opći dio'!$L$6:$U$136,9,FALSE))</f>
        <v/>
      </c>
      <c r="C129" s="200" t="str">
        <f t="shared" si="9"/>
        <v/>
      </c>
      <c r="D129" s="139" t="str">
        <f t="shared" si="10"/>
        <v/>
      </c>
      <c r="E129" s="151"/>
      <c r="F129" s="204" t="str">
        <f t="shared" si="11"/>
        <v/>
      </c>
      <c r="G129" s="196"/>
      <c r="H129" s="196"/>
      <c r="I129" s="196"/>
      <c r="K129" s="142" t="str">
        <f t="shared" si="12"/>
        <v/>
      </c>
      <c r="L129" s="142" t="str">
        <f t="shared" si="13"/>
        <v/>
      </c>
    </row>
    <row r="130" spans="1:12">
      <c r="A130" s="140" t="str">
        <f>IF(E130="","",VLOOKUP('Opći dio'!$C$3,'Opći dio'!$L$6:$U$136,10,FALSE))</f>
        <v/>
      </c>
      <c r="B130" s="140" t="str">
        <f>IF(E130="","",VLOOKUP('Opći dio'!$C$3,'Opći dio'!$L$6:$U$136,9,FALSE))</f>
        <v/>
      </c>
      <c r="C130" s="200" t="str">
        <f t="shared" si="9"/>
        <v/>
      </c>
      <c r="D130" s="139" t="str">
        <f t="shared" si="10"/>
        <v/>
      </c>
      <c r="E130" s="151"/>
      <c r="F130" s="204" t="str">
        <f t="shared" si="11"/>
        <v/>
      </c>
      <c r="G130" s="196"/>
      <c r="H130" s="196"/>
      <c r="I130" s="196"/>
      <c r="K130" s="142" t="str">
        <f t="shared" si="12"/>
        <v/>
      </c>
      <c r="L130" s="142" t="str">
        <f t="shared" si="13"/>
        <v/>
      </c>
    </row>
    <row r="131" spans="1:12">
      <c r="A131" s="140" t="str">
        <f>IF(E131="","",VLOOKUP('Opći dio'!$C$3,'Opći dio'!$L$6:$U$136,10,FALSE))</f>
        <v/>
      </c>
      <c r="B131" s="140" t="str">
        <f>IF(E131="","",VLOOKUP('Opći dio'!$C$3,'Opći dio'!$L$6:$U$136,9,FALSE))</f>
        <v/>
      </c>
      <c r="C131" s="200" t="str">
        <f t="shared" si="9"/>
        <v/>
      </c>
      <c r="D131" s="139" t="str">
        <f t="shared" si="10"/>
        <v/>
      </c>
      <c r="E131" s="151"/>
      <c r="F131" s="204" t="str">
        <f t="shared" si="11"/>
        <v/>
      </c>
      <c r="G131" s="196"/>
      <c r="H131" s="196"/>
      <c r="I131" s="196"/>
      <c r="K131" s="142" t="str">
        <f t="shared" si="12"/>
        <v/>
      </c>
      <c r="L131" s="142" t="str">
        <f t="shared" si="13"/>
        <v/>
      </c>
    </row>
    <row r="132" spans="1:12">
      <c r="A132" s="140" t="str">
        <f>IF(E132="","",VLOOKUP('Opći dio'!$C$3,'Opći dio'!$L$6:$U$136,10,FALSE))</f>
        <v/>
      </c>
      <c r="B132" s="140" t="str">
        <f>IF(E132="","",VLOOKUP('Opći dio'!$C$3,'Opći dio'!$L$6:$U$136,9,FALSE))</f>
        <v/>
      </c>
      <c r="C132" s="200" t="str">
        <f t="shared" ref="C132:C195" si="14">IFERROR(VLOOKUP(E132,$Q$6:$T$90,3,FALSE),"")</f>
        <v/>
      </c>
      <c r="D132" s="139" t="str">
        <f t="shared" ref="D132:D195" si="15">IFERROR(VLOOKUP(E132,$Q$6:$T$90,4,FALSE),"")</f>
        <v/>
      </c>
      <c r="E132" s="151"/>
      <c r="F132" s="204" t="str">
        <f t="shared" ref="F132:F195" si="16">IFERROR(VLOOKUP(E132,$Q$6:$T$90,2,FALSE),"")</f>
        <v/>
      </c>
      <c r="G132" s="196"/>
      <c r="H132" s="196"/>
      <c r="I132" s="196"/>
      <c r="K132" s="142" t="str">
        <f t="shared" ref="K132:K195" si="17">LEFT(E132,3)</f>
        <v/>
      </c>
      <c r="L132" s="142" t="str">
        <f t="shared" ref="L132:L195" si="18">LEFT(E132,2)</f>
        <v/>
      </c>
    </row>
    <row r="133" spans="1:12">
      <c r="A133" s="140" t="str">
        <f>IF(E133="","",VLOOKUP('Opći dio'!$C$3,'Opći dio'!$L$6:$U$136,10,FALSE))</f>
        <v/>
      </c>
      <c r="B133" s="140" t="str">
        <f>IF(E133="","",VLOOKUP('Opći dio'!$C$3,'Opći dio'!$L$6:$U$136,9,FALSE))</f>
        <v/>
      </c>
      <c r="C133" s="200" t="str">
        <f t="shared" si="14"/>
        <v/>
      </c>
      <c r="D133" s="139" t="str">
        <f t="shared" si="15"/>
        <v/>
      </c>
      <c r="E133" s="151"/>
      <c r="F133" s="204" t="str">
        <f t="shared" si="16"/>
        <v/>
      </c>
      <c r="G133" s="196"/>
      <c r="H133" s="196"/>
      <c r="I133" s="196"/>
      <c r="K133" s="142" t="str">
        <f t="shared" si="17"/>
        <v/>
      </c>
      <c r="L133" s="142" t="str">
        <f t="shared" si="18"/>
        <v/>
      </c>
    </row>
    <row r="134" spans="1:12">
      <c r="A134" s="140" t="str">
        <f>IF(E134="","",VLOOKUP('Opći dio'!$C$3,'Opći dio'!$L$6:$U$136,10,FALSE))</f>
        <v/>
      </c>
      <c r="B134" s="140" t="str">
        <f>IF(E134="","",VLOOKUP('Opći dio'!$C$3,'Opći dio'!$L$6:$U$136,9,FALSE))</f>
        <v/>
      </c>
      <c r="C134" s="200" t="str">
        <f t="shared" si="14"/>
        <v/>
      </c>
      <c r="D134" s="139" t="str">
        <f t="shared" si="15"/>
        <v/>
      </c>
      <c r="E134" s="151"/>
      <c r="F134" s="204" t="str">
        <f t="shared" si="16"/>
        <v/>
      </c>
      <c r="G134" s="196"/>
      <c r="H134" s="196"/>
      <c r="I134" s="196"/>
      <c r="K134" s="142" t="str">
        <f t="shared" si="17"/>
        <v/>
      </c>
      <c r="L134" s="142" t="str">
        <f t="shared" si="18"/>
        <v/>
      </c>
    </row>
    <row r="135" spans="1:12">
      <c r="A135" s="140" t="str">
        <f>IF(E135="","",VLOOKUP('Opći dio'!$C$3,'Opći dio'!$L$6:$U$136,10,FALSE))</f>
        <v/>
      </c>
      <c r="B135" s="140" t="str">
        <f>IF(E135="","",VLOOKUP('Opći dio'!$C$3,'Opći dio'!$L$6:$U$136,9,FALSE))</f>
        <v/>
      </c>
      <c r="C135" s="200" t="str">
        <f t="shared" si="14"/>
        <v/>
      </c>
      <c r="D135" s="139" t="str">
        <f t="shared" si="15"/>
        <v/>
      </c>
      <c r="E135" s="151"/>
      <c r="F135" s="204" t="str">
        <f t="shared" si="16"/>
        <v/>
      </c>
      <c r="G135" s="196"/>
      <c r="H135" s="196"/>
      <c r="I135" s="196"/>
      <c r="K135" s="142" t="str">
        <f t="shared" si="17"/>
        <v/>
      </c>
      <c r="L135" s="142" t="str">
        <f t="shared" si="18"/>
        <v/>
      </c>
    </row>
    <row r="136" spans="1:12">
      <c r="A136" s="140" t="str">
        <f>IF(E136="","",VLOOKUP('Opći dio'!$C$3,'Opći dio'!$L$6:$U$136,10,FALSE))</f>
        <v/>
      </c>
      <c r="B136" s="140" t="str">
        <f>IF(E136="","",VLOOKUP('Opći dio'!$C$3,'Opći dio'!$L$6:$U$136,9,FALSE))</f>
        <v/>
      </c>
      <c r="C136" s="200" t="str">
        <f t="shared" si="14"/>
        <v/>
      </c>
      <c r="D136" s="139" t="str">
        <f t="shared" si="15"/>
        <v/>
      </c>
      <c r="E136" s="151"/>
      <c r="F136" s="204" t="str">
        <f t="shared" si="16"/>
        <v/>
      </c>
      <c r="G136" s="196"/>
      <c r="H136" s="196"/>
      <c r="I136" s="196"/>
      <c r="K136" s="142" t="str">
        <f t="shared" si="17"/>
        <v/>
      </c>
      <c r="L136" s="142" t="str">
        <f t="shared" si="18"/>
        <v/>
      </c>
    </row>
    <row r="137" spans="1:12">
      <c r="A137" s="140" t="str">
        <f>IF(E137="","",VLOOKUP('Opći dio'!$C$3,'Opći dio'!$L$6:$U$136,10,FALSE))</f>
        <v/>
      </c>
      <c r="B137" s="140" t="str">
        <f>IF(E137="","",VLOOKUP('Opći dio'!$C$3,'Opći dio'!$L$6:$U$136,9,FALSE))</f>
        <v/>
      </c>
      <c r="C137" s="200" t="str">
        <f t="shared" si="14"/>
        <v/>
      </c>
      <c r="D137" s="139" t="str">
        <f t="shared" si="15"/>
        <v/>
      </c>
      <c r="E137" s="151"/>
      <c r="F137" s="204" t="str">
        <f t="shared" si="16"/>
        <v/>
      </c>
      <c r="G137" s="196"/>
      <c r="H137" s="196"/>
      <c r="I137" s="196"/>
      <c r="K137" s="142" t="str">
        <f t="shared" si="17"/>
        <v/>
      </c>
      <c r="L137" s="142" t="str">
        <f t="shared" si="18"/>
        <v/>
      </c>
    </row>
    <row r="138" spans="1:12">
      <c r="A138" s="140" t="str">
        <f>IF(E138="","",VLOOKUP('Opći dio'!$C$3,'Opći dio'!$L$6:$U$136,10,FALSE))</f>
        <v/>
      </c>
      <c r="B138" s="140" t="str">
        <f>IF(E138="","",VLOOKUP('Opći dio'!$C$3,'Opći dio'!$L$6:$U$136,9,FALSE))</f>
        <v/>
      </c>
      <c r="C138" s="200" t="str">
        <f t="shared" si="14"/>
        <v/>
      </c>
      <c r="D138" s="139" t="str">
        <f t="shared" si="15"/>
        <v/>
      </c>
      <c r="E138" s="151"/>
      <c r="F138" s="204" t="str">
        <f t="shared" si="16"/>
        <v/>
      </c>
      <c r="G138" s="196"/>
      <c r="H138" s="196"/>
      <c r="I138" s="196"/>
      <c r="K138" s="142" t="str">
        <f t="shared" si="17"/>
        <v/>
      </c>
      <c r="L138" s="142" t="str">
        <f t="shared" si="18"/>
        <v/>
      </c>
    </row>
    <row r="139" spans="1:12">
      <c r="A139" s="140" t="str">
        <f>IF(E139="","",VLOOKUP('Opći dio'!$C$3,'Opći dio'!$L$6:$U$136,10,FALSE))</f>
        <v/>
      </c>
      <c r="B139" s="140" t="str">
        <f>IF(E139="","",VLOOKUP('Opći dio'!$C$3,'Opći dio'!$L$6:$U$136,9,FALSE))</f>
        <v/>
      </c>
      <c r="C139" s="200" t="str">
        <f t="shared" si="14"/>
        <v/>
      </c>
      <c r="D139" s="139" t="str">
        <f t="shared" si="15"/>
        <v/>
      </c>
      <c r="E139" s="151"/>
      <c r="F139" s="204" t="str">
        <f t="shared" si="16"/>
        <v/>
      </c>
      <c r="G139" s="196"/>
      <c r="H139" s="196"/>
      <c r="I139" s="196"/>
      <c r="K139" s="142" t="str">
        <f t="shared" si="17"/>
        <v/>
      </c>
      <c r="L139" s="142" t="str">
        <f t="shared" si="18"/>
        <v/>
      </c>
    </row>
    <row r="140" spans="1:12">
      <c r="A140" s="140" t="str">
        <f>IF(E140="","",VLOOKUP('Opći dio'!$C$3,'Opći dio'!$L$6:$U$136,10,FALSE))</f>
        <v/>
      </c>
      <c r="B140" s="140" t="str">
        <f>IF(E140="","",VLOOKUP('Opći dio'!$C$3,'Opći dio'!$L$6:$U$136,9,FALSE))</f>
        <v/>
      </c>
      <c r="C140" s="200" t="str">
        <f t="shared" si="14"/>
        <v/>
      </c>
      <c r="D140" s="139" t="str">
        <f t="shared" si="15"/>
        <v/>
      </c>
      <c r="E140" s="151"/>
      <c r="F140" s="204" t="str">
        <f t="shared" si="16"/>
        <v/>
      </c>
      <c r="G140" s="196"/>
      <c r="H140" s="196"/>
      <c r="I140" s="196"/>
      <c r="K140" s="142" t="str">
        <f t="shared" si="17"/>
        <v/>
      </c>
      <c r="L140" s="142" t="str">
        <f t="shared" si="18"/>
        <v/>
      </c>
    </row>
    <row r="141" spans="1:12">
      <c r="A141" s="140" t="str">
        <f>IF(E141="","",VLOOKUP('Opći dio'!$C$3,'Opći dio'!$L$6:$U$136,10,FALSE))</f>
        <v/>
      </c>
      <c r="B141" s="140" t="str">
        <f>IF(E141="","",VLOOKUP('Opći dio'!$C$3,'Opći dio'!$L$6:$U$136,9,FALSE))</f>
        <v/>
      </c>
      <c r="C141" s="200" t="str">
        <f t="shared" si="14"/>
        <v/>
      </c>
      <c r="D141" s="139" t="str">
        <f t="shared" si="15"/>
        <v/>
      </c>
      <c r="E141" s="151"/>
      <c r="F141" s="204" t="str">
        <f t="shared" si="16"/>
        <v/>
      </c>
      <c r="G141" s="196"/>
      <c r="H141" s="196"/>
      <c r="I141" s="196"/>
      <c r="K141" s="142" t="str">
        <f t="shared" si="17"/>
        <v/>
      </c>
      <c r="L141" s="142" t="str">
        <f t="shared" si="18"/>
        <v/>
      </c>
    </row>
    <row r="142" spans="1:12">
      <c r="A142" s="140" t="str">
        <f>IF(E142="","",VLOOKUP('Opći dio'!$C$3,'Opći dio'!$L$6:$U$136,10,FALSE))</f>
        <v/>
      </c>
      <c r="B142" s="140" t="str">
        <f>IF(E142="","",VLOOKUP('Opći dio'!$C$3,'Opći dio'!$L$6:$U$136,9,FALSE))</f>
        <v/>
      </c>
      <c r="C142" s="200" t="str">
        <f t="shared" si="14"/>
        <v/>
      </c>
      <c r="D142" s="139" t="str">
        <f t="shared" si="15"/>
        <v/>
      </c>
      <c r="E142" s="151"/>
      <c r="F142" s="204" t="str">
        <f t="shared" si="16"/>
        <v/>
      </c>
      <c r="G142" s="196"/>
      <c r="H142" s="196"/>
      <c r="I142" s="196"/>
      <c r="K142" s="142" t="str">
        <f t="shared" si="17"/>
        <v/>
      </c>
      <c r="L142" s="142" t="str">
        <f t="shared" si="18"/>
        <v/>
      </c>
    </row>
    <row r="143" spans="1:12">
      <c r="A143" s="140" t="str">
        <f>IF(E143="","",VLOOKUP('Opći dio'!$C$3,'Opći dio'!$L$6:$U$136,10,FALSE))</f>
        <v/>
      </c>
      <c r="B143" s="140" t="str">
        <f>IF(E143="","",VLOOKUP('Opći dio'!$C$3,'Opći dio'!$L$6:$U$136,9,FALSE))</f>
        <v/>
      </c>
      <c r="C143" s="200" t="str">
        <f t="shared" si="14"/>
        <v/>
      </c>
      <c r="D143" s="139" t="str">
        <f t="shared" si="15"/>
        <v/>
      </c>
      <c r="E143" s="151"/>
      <c r="F143" s="204" t="str">
        <f t="shared" si="16"/>
        <v/>
      </c>
      <c r="G143" s="196"/>
      <c r="H143" s="196"/>
      <c r="I143" s="196"/>
      <c r="K143" s="142" t="str">
        <f t="shared" si="17"/>
        <v/>
      </c>
      <c r="L143" s="142" t="str">
        <f t="shared" si="18"/>
        <v/>
      </c>
    </row>
    <row r="144" spans="1:12">
      <c r="A144" s="140" t="str">
        <f>IF(E144="","",VLOOKUP('Opći dio'!$C$3,'Opći dio'!$L$6:$U$136,10,FALSE))</f>
        <v/>
      </c>
      <c r="B144" s="140" t="str">
        <f>IF(E144="","",VLOOKUP('Opći dio'!$C$3,'Opći dio'!$L$6:$U$136,9,FALSE))</f>
        <v/>
      </c>
      <c r="C144" s="200" t="str">
        <f t="shared" si="14"/>
        <v/>
      </c>
      <c r="D144" s="139" t="str">
        <f t="shared" si="15"/>
        <v/>
      </c>
      <c r="E144" s="151"/>
      <c r="F144" s="204" t="str">
        <f t="shared" si="16"/>
        <v/>
      </c>
      <c r="G144" s="196"/>
      <c r="H144" s="196"/>
      <c r="I144" s="196"/>
      <c r="K144" s="142" t="str">
        <f t="shared" si="17"/>
        <v/>
      </c>
      <c r="L144" s="142" t="str">
        <f t="shared" si="18"/>
        <v/>
      </c>
    </row>
    <row r="145" spans="1:12">
      <c r="A145" s="140" t="str">
        <f>IF(E145="","",VLOOKUP('Opći dio'!$C$3,'Opći dio'!$L$6:$U$136,10,FALSE))</f>
        <v/>
      </c>
      <c r="B145" s="140" t="str">
        <f>IF(E145="","",VLOOKUP('Opći dio'!$C$3,'Opći dio'!$L$6:$U$136,9,FALSE))</f>
        <v/>
      </c>
      <c r="C145" s="200" t="str">
        <f t="shared" si="14"/>
        <v/>
      </c>
      <c r="D145" s="139" t="str">
        <f t="shared" si="15"/>
        <v/>
      </c>
      <c r="E145" s="151"/>
      <c r="F145" s="204" t="str">
        <f t="shared" si="16"/>
        <v/>
      </c>
      <c r="G145" s="196"/>
      <c r="H145" s="196"/>
      <c r="I145" s="196"/>
      <c r="K145" s="142" t="str">
        <f t="shared" si="17"/>
        <v/>
      </c>
      <c r="L145" s="142" t="str">
        <f t="shared" si="18"/>
        <v/>
      </c>
    </row>
    <row r="146" spans="1:12">
      <c r="A146" s="140" t="str">
        <f>IF(E146="","",VLOOKUP('Opći dio'!$C$3,'Opći dio'!$L$6:$U$136,10,FALSE))</f>
        <v/>
      </c>
      <c r="B146" s="140" t="str">
        <f>IF(E146="","",VLOOKUP('Opći dio'!$C$3,'Opći dio'!$L$6:$U$136,9,FALSE))</f>
        <v/>
      </c>
      <c r="C146" s="200" t="str">
        <f t="shared" si="14"/>
        <v/>
      </c>
      <c r="D146" s="139" t="str">
        <f t="shared" si="15"/>
        <v/>
      </c>
      <c r="E146" s="151"/>
      <c r="F146" s="204" t="str">
        <f t="shared" si="16"/>
        <v/>
      </c>
      <c r="G146" s="196"/>
      <c r="H146" s="196"/>
      <c r="I146" s="196"/>
      <c r="K146" s="142" t="str">
        <f t="shared" si="17"/>
        <v/>
      </c>
      <c r="L146" s="142" t="str">
        <f t="shared" si="18"/>
        <v/>
      </c>
    </row>
    <row r="147" spans="1:12">
      <c r="A147" s="140" t="str">
        <f>IF(E147="","",VLOOKUP('Opći dio'!$C$3,'Opći dio'!$L$6:$U$136,10,FALSE))</f>
        <v/>
      </c>
      <c r="B147" s="140" t="str">
        <f>IF(E147="","",VLOOKUP('Opći dio'!$C$3,'Opći dio'!$L$6:$U$136,9,FALSE))</f>
        <v/>
      </c>
      <c r="C147" s="200" t="str">
        <f t="shared" si="14"/>
        <v/>
      </c>
      <c r="D147" s="139" t="str">
        <f t="shared" si="15"/>
        <v/>
      </c>
      <c r="E147" s="151"/>
      <c r="F147" s="204" t="str">
        <f t="shared" si="16"/>
        <v/>
      </c>
      <c r="G147" s="196"/>
      <c r="H147" s="196"/>
      <c r="I147" s="196"/>
      <c r="K147" s="142" t="str">
        <f t="shared" si="17"/>
        <v/>
      </c>
      <c r="L147" s="142" t="str">
        <f t="shared" si="18"/>
        <v/>
      </c>
    </row>
    <row r="148" spans="1:12">
      <c r="A148" s="140" t="str">
        <f>IF(E148="","",VLOOKUP('Opći dio'!$C$3,'Opći dio'!$L$6:$U$136,10,FALSE))</f>
        <v/>
      </c>
      <c r="B148" s="140" t="str">
        <f>IF(E148="","",VLOOKUP('Opći dio'!$C$3,'Opći dio'!$L$6:$U$136,9,FALSE))</f>
        <v/>
      </c>
      <c r="C148" s="200" t="str">
        <f t="shared" si="14"/>
        <v/>
      </c>
      <c r="D148" s="139" t="str">
        <f t="shared" si="15"/>
        <v/>
      </c>
      <c r="E148" s="151"/>
      <c r="F148" s="204" t="str">
        <f t="shared" si="16"/>
        <v/>
      </c>
      <c r="G148" s="196"/>
      <c r="H148" s="196"/>
      <c r="I148" s="196"/>
      <c r="K148" s="142" t="str">
        <f t="shared" si="17"/>
        <v/>
      </c>
      <c r="L148" s="142" t="str">
        <f t="shared" si="18"/>
        <v/>
      </c>
    </row>
    <row r="149" spans="1:12">
      <c r="A149" s="140" t="str">
        <f>IF(E149="","",VLOOKUP('Opći dio'!$C$3,'Opći dio'!$L$6:$U$136,10,FALSE))</f>
        <v/>
      </c>
      <c r="B149" s="140" t="str">
        <f>IF(E149="","",VLOOKUP('Opći dio'!$C$3,'Opći dio'!$L$6:$U$136,9,FALSE))</f>
        <v/>
      </c>
      <c r="C149" s="200" t="str">
        <f t="shared" si="14"/>
        <v/>
      </c>
      <c r="D149" s="139" t="str">
        <f t="shared" si="15"/>
        <v/>
      </c>
      <c r="E149" s="151"/>
      <c r="F149" s="204" t="str">
        <f t="shared" si="16"/>
        <v/>
      </c>
      <c r="G149" s="196"/>
      <c r="H149" s="196"/>
      <c r="I149" s="196"/>
      <c r="K149" s="142" t="str">
        <f t="shared" si="17"/>
        <v/>
      </c>
      <c r="L149" s="142" t="str">
        <f t="shared" si="18"/>
        <v/>
      </c>
    </row>
    <row r="150" spans="1:12">
      <c r="A150" s="140" t="str">
        <f>IF(E150="","",VLOOKUP('Opći dio'!$C$3,'Opći dio'!$L$6:$U$136,10,FALSE))</f>
        <v/>
      </c>
      <c r="B150" s="140" t="str">
        <f>IF(E150="","",VLOOKUP('Opći dio'!$C$3,'Opći dio'!$L$6:$U$136,9,FALSE))</f>
        <v/>
      </c>
      <c r="C150" s="200" t="str">
        <f t="shared" si="14"/>
        <v/>
      </c>
      <c r="D150" s="139" t="str">
        <f t="shared" si="15"/>
        <v/>
      </c>
      <c r="E150" s="151"/>
      <c r="F150" s="204" t="str">
        <f t="shared" si="16"/>
        <v/>
      </c>
      <c r="G150" s="196"/>
      <c r="H150" s="196"/>
      <c r="I150" s="196"/>
      <c r="K150" s="142" t="str">
        <f t="shared" si="17"/>
        <v/>
      </c>
      <c r="L150" s="142" t="str">
        <f t="shared" si="18"/>
        <v/>
      </c>
    </row>
    <row r="151" spans="1:12">
      <c r="A151" s="140" t="str">
        <f>IF(E151="","",VLOOKUP('Opći dio'!$C$3,'Opći dio'!$L$6:$U$136,10,FALSE))</f>
        <v/>
      </c>
      <c r="B151" s="140" t="str">
        <f>IF(E151="","",VLOOKUP('Opći dio'!$C$3,'Opći dio'!$L$6:$U$136,9,FALSE))</f>
        <v/>
      </c>
      <c r="C151" s="200" t="str">
        <f t="shared" si="14"/>
        <v/>
      </c>
      <c r="D151" s="139" t="str">
        <f t="shared" si="15"/>
        <v/>
      </c>
      <c r="E151" s="151"/>
      <c r="F151" s="204" t="str">
        <f t="shared" si="16"/>
        <v/>
      </c>
      <c r="G151" s="196"/>
      <c r="H151" s="196"/>
      <c r="I151" s="196"/>
      <c r="K151" s="142" t="str">
        <f t="shared" si="17"/>
        <v/>
      </c>
      <c r="L151" s="142" t="str">
        <f t="shared" si="18"/>
        <v/>
      </c>
    </row>
    <row r="152" spans="1:12">
      <c r="A152" s="140" t="str">
        <f>IF(E152="","",VLOOKUP('Opći dio'!$C$3,'Opći dio'!$L$6:$U$136,10,FALSE))</f>
        <v/>
      </c>
      <c r="B152" s="140" t="str">
        <f>IF(E152="","",VLOOKUP('Opći dio'!$C$3,'Opći dio'!$L$6:$U$136,9,FALSE))</f>
        <v/>
      </c>
      <c r="C152" s="200" t="str">
        <f t="shared" si="14"/>
        <v/>
      </c>
      <c r="D152" s="139" t="str">
        <f t="shared" si="15"/>
        <v/>
      </c>
      <c r="E152" s="151"/>
      <c r="F152" s="204" t="str">
        <f t="shared" si="16"/>
        <v/>
      </c>
      <c r="G152" s="196"/>
      <c r="H152" s="196"/>
      <c r="I152" s="196"/>
      <c r="K152" s="142" t="str">
        <f t="shared" si="17"/>
        <v/>
      </c>
      <c r="L152" s="142" t="str">
        <f t="shared" si="18"/>
        <v/>
      </c>
    </row>
    <row r="153" spans="1:12">
      <c r="A153" s="140" t="str">
        <f>IF(E153="","",VLOOKUP('Opći dio'!$C$3,'Opći dio'!$L$6:$U$136,10,FALSE))</f>
        <v/>
      </c>
      <c r="B153" s="140" t="str">
        <f>IF(E153="","",VLOOKUP('Opći dio'!$C$3,'Opći dio'!$L$6:$U$136,9,FALSE))</f>
        <v/>
      </c>
      <c r="C153" s="200" t="str">
        <f t="shared" si="14"/>
        <v/>
      </c>
      <c r="D153" s="139" t="str">
        <f t="shared" si="15"/>
        <v/>
      </c>
      <c r="E153" s="151"/>
      <c r="F153" s="204" t="str">
        <f t="shared" si="16"/>
        <v/>
      </c>
      <c r="G153" s="196"/>
      <c r="H153" s="196"/>
      <c r="I153" s="196"/>
      <c r="K153" s="142" t="str">
        <f t="shared" si="17"/>
        <v/>
      </c>
      <c r="L153" s="142" t="str">
        <f t="shared" si="18"/>
        <v/>
      </c>
    </row>
    <row r="154" spans="1:12">
      <c r="A154" s="140" t="str">
        <f>IF(E154="","",VLOOKUP('Opći dio'!$C$3,'Opći dio'!$L$6:$U$136,10,FALSE))</f>
        <v/>
      </c>
      <c r="B154" s="140" t="str">
        <f>IF(E154="","",VLOOKUP('Opći dio'!$C$3,'Opći dio'!$L$6:$U$136,9,FALSE))</f>
        <v/>
      </c>
      <c r="C154" s="200" t="str">
        <f t="shared" si="14"/>
        <v/>
      </c>
      <c r="D154" s="139" t="str">
        <f t="shared" si="15"/>
        <v/>
      </c>
      <c r="E154" s="151"/>
      <c r="F154" s="204" t="str">
        <f t="shared" si="16"/>
        <v/>
      </c>
      <c r="G154" s="196"/>
      <c r="H154" s="196"/>
      <c r="I154" s="196"/>
      <c r="K154" s="142" t="str">
        <f t="shared" si="17"/>
        <v/>
      </c>
      <c r="L154" s="142" t="str">
        <f t="shared" si="18"/>
        <v/>
      </c>
    </row>
    <row r="155" spans="1:12">
      <c r="A155" s="140" t="str">
        <f>IF(E155="","",VLOOKUP('Opći dio'!$C$3,'Opći dio'!$L$6:$U$136,10,FALSE))</f>
        <v/>
      </c>
      <c r="B155" s="140" t="str">
        <f>IF(E155="","",VLOOKUP('Opći dio'!$C$3,'Opći dio'!$L$6:$U$136,9,FALSE))</f>
        <v/>
      </c>
      <c r="C155" s="200" t="str">
        <f t="shared" si="14"/>
        <v/>
      </c>
      <c r="D155" s="139" t="str">
        <f t="shared" si="15"/>
        <v/>
      </c>
      <c r="E155" s="151"/>
      <c r="F155" s="204" t="str">
        <f t="shared" si="16"/>
        <v/>
      </c>
      <c r="G155" s="196"/>
      <c r="H155" s="196"/>
      <c r="I155" s="196"/>
      <c r="K155" s="142" t="str">
        <f t="shared" si="17"/>
        <v/>
      </c>
      <c r="L155" s="142" t="str">
        <f t="shared" si="18"/>
        <v/>
      </c>
    </row>
    <row r="156" spans="1:12">
      <c r="A156" s="140" t="str">
        <f>IF(E156="","",VLOOKUP('Opći dio'!$C$3,'Opći dio'!$L$6:$U$136,10,FALSE))</f>
        <v/>
      </c>
      <c r="B156" s="140" t="str">
        <f>IF(E156="","",VLOOKUP('Opći dio'!$C$3,'Opći dio'!$L$6:$U$136,9,FALSE))</f>
        <v/>
      </c>
      <c r="C156" s="200" t="str">
        <f t="shared" si="14"/>
        <v/>
      </c>
      <c r="D156" s="139" t="str">
        <f t="shared" si="15"/>
        <v/>
      </c>
      <c r="E156" s="151"/>
      <c r="F156" s="204" t="str">
        <f t="shared" si="16"/>
        <v/>
      </c>
      <c r="G156" s="196"/>
      <c r="H156" s="196"/>
      <c r="I156" s="196"/>
      <c r="K156" s="142" t="str">
        <f t="shared" si="17"/>
        <v/>
      </c>
      <c r="L156" s="142" t="str">
        <f t="shared" si="18"/>
        <v/>
      </c>
    </row>
    <row r="157" spans="1:12">
      <c r="A157" s="140" t="str">
        <f>IF(E157="","",VLOOKUP('Opći dio'!$C$3,'Opći dio'!$L$6:$U$136,10,FALSE))</f>
        <v/>
      </c>
      <c r="B157" s="140" t="str">
        <f>IF(E157="","",VLOOKUP('Opći dio'!$C$3,'Opći dio'!$L$6:$U$136,9,FALSE))</f>
        <v/>
      </c>
      <c r="C157" s="200" t="str">
        <f t="shared" si="14"/>
        <v/>
      </c>
      <c r="D157" s="139" t="str">
        <f t="shared" si="15"/>
        <v/>
      </c>
      <c r="E157" s="151"/>
      <c r="F157" s="204" t="str">
        <f t="shared" si="16"/>
        <v/>
      </c>
      <c r="G157" s="196"/>
      <c r="H157" s="196"/>
      <c r="I157" s="196"/>
      <c r="K157" s="142" t="str">
        <f t="shared" si="17"/>
        <v/>
      </c>
      <c r="L157" s="142" t="str">
        <f t="shared" si="18"/>
        <v/>
      </c>
    </row>
    <row r="158" spans="1:12">
      <c r="A158" s="140" t="str">
        <f>IF(E158="","",VLOOKUP('Opći dio'!$C$3,'Opći dio'!$L$6:$U$136,10,FALSE))</f>
        <v/>
      </c>
      <c r="B158" s="140" t="str">
        <f>IF(E158="","",VLOOKUP('Opći dio'!$C$3,'Opći dio'!$L$6:$U$136,9,FALSE))</f>
        <v/>
      </c>
      <c r="C158" s="200" t="str">
        <f t="shared" si="14"/>
        <v/>
      </c>
      <c r="D158" s="139" t="str">
        <f t="shared" si="15"/>
        <v/>
      </c>
      <c r="E158" s="151"/>
      <c r="F158" s="204" t="str">
        <f t="shared" si="16"/>
        <v/>
      </c>
      <c r="G158" s="196"/>
      <c r="H158" s="196"/>
      <c r="I158" s="196"/>
      <c r="K158" s="142" t="str">
        <f t="shared" si="17"/>
        <v/>
      </c>
      <c r="L158" s="142" t="str">
        <f t="shared" si="18"/>
        <v/>
      </c>
    </row>
    <row r="159" spans="1:12">
      <c r="A159" s="140" t="str">
        <f>IF(E159="","",VLOOKUP('Opći dio'!$C$3,'Opći dio'!$L$6:$U$136,10,FALSE))</f>
        <v/>
      </c>
      <c r="B159" s="140" t="str">
        <f>IF(E159="","",VLOOKUP('Opći dio'!$C$3,'Opći dio'!$L$6:$U$136,9,FALSE))</f>
        <v/>
      </c>
      <c r="C159" s="200" t="str">
        <f t="shared" si="14"/>
        <v/>
      </c>
      <c r="D159" s="139" t="str">
        <f t="shared" si="15"/>
        <v/>
      </c>
      <c r="E159" s="151"/>
      <c r="F159" s="204" t="str">
        <f t="shared" si="16"/>
        <v/>
      </c>
      <c r="G159" s="196"/>
      <c r="H159" s="196"/>
      <c r="I159" s="196"/>
      <c r="K159" s="142" t="str">
        <f t="shared" si="17"/>
        <v/>
      </c>
      <c r="L159" s="142" t="str">
        <f t="shared" si="18"/>
        <v/>
      </c>
    </row>
    <row r="160" spans="1:12">
      <c r="A160" s="140" t="str">
        <f>IF(E160="","",VLOOKUP('Opći dio'!$C$3,'Opći dio'!$L$6:$U$136,10,FALSE))</f>
        <v/>
      </c>
      <c r="B160" s="140" t="str">
        <f>IF(E160="","",VLOOKUP('Opći dio'!$C$3,'Opći dio'!$L$6:$U$136,9,FALSE))</f>
        <v/>
      </c>
      <c r="C160" s="200" t="str">
        <f t="shared" si="14"/>
        <v/>
      </c>
      <c r="D160" s="139" t="str">
        <f t="shared" si="15"/>
        <v/>
      </c>
      <c r="E160" s="151"/>
      <c r="F160" s="204" t="str">
        <f t="shared" si="16"/>
        <v/>
      </c>
      <c r="G160" s="196"/>
      <c r="H160" s="196"/>
      <c r="I160" s="196"/>
      <c r="K160" s="142" t="str">
        <f t="shared" si="17"/>
        <v/>
      </c>
      <c r="L160" s="142" t="str">
        <f t="shared" si="18"/>
        <v/>
      </c>
    </row>
    <row r="161" spans="1:12">
      <c r="A161" s="140" t="str">
        <f>IF(E161="","",VLOOKUP('Opći dio'!$C$3,'Opći dio'!$L$6:$U$136,10,FALSE))</f>
        <v/>
      </c>
      <c r="B161" s="140" t="str">
        <f>IF(E161="","",VLOOKUP('Opći dio'!$C$3,'Opći dio'!$L$6:$U$136,9,FALSE))</f>
        <v/>
      </c>
      <c r="C161" s="200" t="str">
        <f t="shared" si="14"/>
        <v/>
      </c>
      <c r="D161" s="139" t="str">
        <f t="shared" si="15"/>
        <v/>
      </c>
      <c r="E161" s="151"/>
      <c r="F161" s="204" t="str">
        <f t="shared" si="16"/>
        <v/>
      </c>
      <c r="G161" s="196"/>
      <c r="H161" s="196"/>
      <c r="I161" s="196"/>
      <c r="K161" s="142" t="str">
        <f t="shared" si="17"/>
        <v/>
      </c>
      <c r="L161" s="142" t="str">
        <f t="shared" si="18"/>
        <v/>
      </c>
    </row>
    <row r="162" spans="1:12">
      <c r="A162" s="140" t="str">
        <f>IF(E162="","",VLOOKUP('Opći dio'!$C$3,'Opći dio'!$L$6:$U$136,10,FALSE))</f>
        <v/>
      </c>
      <c r="B162" s="140" t="str">
        <f>IF(E162="","",VLOOKUP('Opći dio'!$C$3,'Opći dio'!$L$6:$U$136,9,FALSE))</f>
        <v/>
      </c>
      <c r="C162" s="200" t="str">
        <f t="shared" si="14"/>
        <v/>
      </c>
      <c r="D162" s="139" t="str">
        <f t="shared" si="15"/>
        <v/>
      </c>
      <c r="E162" s="151"/>
      <c r="F162" s="204" t="str">
        <f t="shared" si="16"/>
        <v/>
      </c>
      <c r="G162" s="196"/>
      <c r="H162" s="196"/>
      <c r="I162" s="196"/>
      <c r="K162" s="142" t="str">
        <f t="shared" si="17"/>
        <v/>
      </c>
      <c r="L162" s="142" t="str">
        <f t="shared" si="18"/>
        <v/>
      </c>
    </row>
    <row r="163" spans="1:12">
      <c r="A163" s="140" t="str">
        <f>IF(E163="","",VLOOKUP('Opći dio'!$C$3,'Opći dio'!$L$6:$U$136,10,FALSE))</f>
        <v/>
      </c>
      <c r="B163" s="140" t="str">
        <f>IF(E163="","",VLOOKUP('Opći dio'!$C$3,'Opći dio'!$L$6:$U$136,9,FALSE))</f>
        <v/>
      </c>
      <c r="C163" s="200" t="str">
        <f t="shared" si="14"/>
        <v/>
      </c>
      <c r="D163" s="139" t="str">
        <f t="shared" si="15"/>
        <v/>
      </c>
      <c r="E163" s="151"/>
      <c r="F163" s="204" t="str">
        <f t="shared" si="16"/>
        <v/>
      </c>
      <c r="G163" s="196"/>
      <c r="H163" s="196"/>
      <c r="I163" s="196"/>
      <c r="K163" s="142" t="str">
        <f t="shared" si="17"/>
        <v/>
      </c>
      <c r="L163" s="142" t="str">
        <f t="shared" si="18"/>
        <v/>
      </c>
    </row>
    <row r="164" spans="1:12">
      <c r="A164" s="140" t="str">
        <f>IF(E164="","",VLOOKUP('Opći dio'!$C$3,'Opći dio'!$L$6:$U$136,10,FALSE))</f>
        <v/>
      </c>
      <c r="B164" s="140" t="str">
        <f>IF(E164="","",VLOOKUP('Opći dio'!$C$3,'Opći dio'!$L$6:$U$136,9,FALSE))</f>
        <v/>
      </c>
      <c r="C164" s="200" t="str">
        <f t="shared" si="14"/>
        <v/>
      </c>
      <c r="D164" s="139" t="str">
        <f t="shared" si="15"/>
        <v/>
      </c>
      <c r="E164" s="151"/>
      <c r="F164" s="204" t="str">
        <f t="shared" si="16"/>
        <v/>
      </c>
      <c r="G164" s="196"/>
      <c r="H164" s="196"/>
      <c r="I164" s="196"/>
      <c r="K164" s="142" t="str">
        <f t="shared" si="17"/>
        <v/>
      </c>
      <c r="L164" s="142" t="str">
        <f t="shared" si="18"/>
        <v/>
      </c>
    </row>
    <row r="165" spans="1:12">
      <c r="A165" s="140" t="str">
        <f>IF(E165="","",VLOOKUP('Opći dio'!$C$3,'Opći dio'!$L$6:$U$136,10,FALSE))</f>
        <v/>
      </c>
      <c r="B165" s="140" t="str">
        <f>IF(E165="","",VLOOKUP('Opći dio'!$C$3,'Opći dio'!$L$6:$U$136,9,FALSE))</f>
        <v/>
      </c>
      <c r="C165" s="200" t="str">
        <f t="shared" si="14"/>
        <v/>
      </c>
      <c r="D165" s="139" t="str">
        <f t="shared" si="15"/>
        <v/>
      </c>
      <c r="E165" s="151"/>
      <c r="F165" s="204" t="str">
        <f t="shared" si="16"/>
        <v/>
      </c>
      <c r="G165" s="196"/>
      <c r="H165" s="196"/>
      <c r="I165" s="196"/>
      <c r="K165" s="142" t="str">
        <f t="shared" si="17"/>
        <v/>
      </c>
      <c r="L165" s="142" t="str">
        <f t="shared" si="18"/>
        <v/>
      </c>
    </row>
    <row r="166" spans="1:12">
      <c r="A166" s="140" t="str">
        <f>IF(E166="","",VLOOKUP('Opći dio'!$C$3,'Opći dio'!$L$6:$U$136,10,FALSE))</f>
        <v/>
      </c>
      <c r="B166" s="140" t="str">
        <f>IF(E166="","",VLOOKUP('Opći dio'!$C$3,'Opći dio'!$L$6:$U$136,9,FALSE))</f>
        <v/>
      </c>
      <c r="C166" s="200" t="str">
        <f t="shared" si="14"/>
        <v/>
      </c>
      <c r="D166" s="139" t="str">
        <f t="shared" si="15"/>
        <v/>
      </c>
      <c r="E166" s="151"/>
      <c r="F166" s="204" t="str">
        <f t="shared" si="16"/>
        <v/>
      </c>
      <c r="G166" s="196"/>
      <c r="H166" s="196"/>
      <c r="I166" s="196"/>
      <c r="K166" s="142" t="str">
        <f t="shared" si="17"/>
        <v/>
      </c>
      <c r="L166" s="142" t="str">
        <f t="shared" si="18"/>
        <v/>
      </c>
    </row>
    <row r="167" spans="1:12">
      <c r="A167" s="140" t="str">
        <f>IF(E167="","",VLOOKUP('Opći dio'!$C$3,'Opći dio'!$L$6:$U$136,10,FALSE))</f>
        <v/>
      </c>
      <c r="B167" s="140" t="str">
        <f>IF(E167="","",VLOOKUP('Opći dio'!$C$3,'Opći dio'!$L$6:$U$136,9,FALSE))</f>
        <v/>
      </c>
      <c r="C167" s="200" t="str">
        <f t="shared" si="14"/>
        <v/>
      </c>
      <c r="D167" s="139" t="str">
        <f t="shared" si="15"/>
        <v/>
      </c>
      <c r="E167" s="151"/>
      <c r="F167" s="204" t="str">
        <f t="shared" si="16"/>
        <v/>
      </c>
      <c r="G167" s="196"/>
      <c r="H167" s="196"/>
      <c r="I167" s="196"/>
      <c r="K167" s="142" t="str">
        <f t="shared" si="17"/>
        <v/>
      </c>
      <c r="L167" s="142" t="str">
        <f t="shared" si="18"/>
        <v/>
      </c>
    </row>
    <row r="168" spans="1:12">
      <c r="A168" s="140" t="str">
        <f>IF(E168="","",VLOOKUP('Opći dio'!$C$3,'Opći dio'!$L$6:$U$136,10,FALSE))</f>
        <v/>
      </c>
      <c r="B168" s="140" t="str">
        <f>IF(E168="","",VLOOKUP('Opći dio'!$C$3,'Opći dio'!$L$6:$U$136,9,FALSE))</f>
        <v/>
      </c>
      <c r="C168" s="200" t="str">
        <f t="shared" si="14"/>
        <v/>
      </c>
      <c r="D168" s="139" t="str">
        <f t="shared" si="15"/>
        <v/>
      </c>
      <c r="E168" s="151"/>
      <c r="F168" s="204" t="str">
        <f t="shared" si="16"/>
        <v/>
      </c>
      <c r="G168" s="196"/>
      <c r="H168" s="196"/>
      <c r="I168" s="196"/>
      <c r="K168" s="142" t="str">
        <f t="shared" si="17"/>
        <v/>
      </c>
      <c r="L168" s="142" t="str">
        <f t="shared" si="18"/>
        <v/>
      </c>
    </row>
    <row r="169" spans="1:12">
      <c r="A169" s="140" t="str">
        <f>IF(E169="","",VLOOKUP('Opći dio'!$C$3,'Opći dio'!$L$6:$U$136,10,FALSE))</f>
        <v/>
      </c>
      <c r="B169" s="140" t="str">
        <f>IF(E169="","",VLOOKUP('Opći dio'!$C$3,'Opći dio'!$L$6:$U$136,9,FALSE))</f>
        <v/>
      </c>
      <c r="C169" s="200" t="str">
        <f t="shared" si="14"/>
        <v/>
      </c>
      <c r="D169" s="139" t="str">
        <f t="shared" si="15"/>
        <v/>
      </c>
      <c r="E169" s="151"/>
      <c r="F169" s="204" t="str">
        <f t="shared" si="16"/>
        <v/>
      </c>
      <c r="G169" s="196"/>
      <c r="H169" s="196"/>
      <c r="I169" s="196"/>
      <c r="K169" s="142" t="str">
        <f t="shared" si="17"/>
        <v/>
      </c>
      <c r="L169" s="142" t="str">
        <f t="shared" si="18"/>
        <v/>
      </c>
    </row>
    <row r="170" spans="1:12">
      <c r="A170" s="140" t="str">
        <f>IF(E170="","",VLOOKUP('Opći dio'!$C$3,'Opći dio'!$L$6:$U$136,10,FALSE))</f>
        <v/>
      </c>
      <c r="B170" s="140" t="str">
        <f>IF(E170="","",VLOOKUP('Opći dio'!$C$3,'Opći dio'!$L$6:$U$136,9,FALSE))</f>
        <v/>
      </c>
      <c r="C170" s="200" t="str">
        <f t="shared" si="14"/>
        <v/>
      </c>
      <c r="D170" s="139" t="str">
        <f t="shared" si="15"/>
        <v/>
      </c>
      <c r="E170" s="151"/>
      <c r="F170" s="204" t="str">
        <f t="shared" si="16"/>
        <v/>
      </c>
      <c r="G170" s="196"/>
      <c r="H170" s="196"/>
      <c r="I170" s="196"/>
      <c r="K170" s="142" t="str">
        <f t="shared" si="17"/>
        <v/>
      </c>
      <c r="L170" s="142" t="str">
        <f t="shared" si="18"/>
        <v/>
      </c>
    </row>
    <row r="171" spans="1:12">
      <c r="A171" s="140" t="str">
        <f>IF(E171="","",VLOOKUP('Opći dio'!$C$3,'Opći dio'!$L$6:$U$136,10,FALSE))</f>
        <v/>
      </c>
      <c r="B171" s="140" t="str">
        <f>IF(E171="","",VLOOKUP('Opći dio'!$C$3,'Opći dio'!$L$6:$U$136,9,FALSE))</f>
        <v/>
      </c>
      <c r="C171" s="200" t="str">
        <f t="shared" si="14"/>
        <v/>
      </c>
      <c r="D171" s="139" t="str">
        <f t="shared" si="15"/>
        <v/>
      </c>
      <c r="E171" s="151"/>
      <c r="F171" s="204" t="str">
        <f t="shared" si="16"/>
        <v/>
      </c>
      <c r="G171" s="196"/>
      <c r="H171" s="196"/>
      <c r="I171" s="196"/>
      <c r="K171" s="142" t="str">
        <f t="shared" si="17"/>
        <v/>
      </c>
      <c r="L171" s="142" t="str">
        <f t="shared" si="18"/>
        <v/>
      </c>
    </row>
    <row r="172" spans="1:12">
      <c r="A172" s="140" t="str">
        <f>IF(E172="","",VLOOKUP('Opći dio'!$C$3,'Opći dio'!$L$6:$U$136,10,FALSE))</f>
        <v/>
      </c>
      <c r="B172" s="140" t="str">
        <f>IF(E172="","",VLOOKUP('Opći dio'!$C$3,'Opći dio'!$L$6:$U$136,9,FALSE))</f>
        <v/>
      </c>
      <c r="C172" s="200" t="str">
        <f t="shared" si="14"/>
        <v/>
      </c>
      <c r="D172" s="139" t="str">
        <f t="shared" si="15"/>
        <v/>
      </c>
      <c r="E172" s="151"/>
      <c r="F172" s="204" t="str">
        <f t="shared" si="16"/>
        <v/>
      </c>
      <c r="G172" s="196"/>
      <c r="H172" s="196"/>
      <c r="I172" s="196"/>
      <c r="K172" s="142" t="str">
        <f t="shared" si="17"/>
        <v/>
      </c>
      <c r="L172" s="142" t="str">
        <f t="shared" si="18"/>
        <v/>
      </c>
    </row>
    <row r="173" spans="1:12">
      <c r="A173" s="140" t="str">
        <f>IF(E173="","",VLOOKUP('Opći dio'!$C$3,'Opći dio'!$L$6:$U$136,10,FALSE))</f>
        <v/>
      </c>
      <c r="B173" s="140" t="str">
        <f>IF(E173="","",VLOOKUP('Opći dio'!$C$3,'Opći dio'!$L$6:$U$136,9,FALSE))</f>
        <v/>
      </c>
      <c r="C173" s="200" t="str">
        <f t="shared" si="14"/>
        <v/>
      </c>
      <c r="D173" s="139" t="str">
        <f t="shared" si="15"/>
        <v/>
      </c>
      <c r="E173" s="151"/>
      <c r="F173" s="204" t="str">
        <f t="shared" si="16"/>
        <v/>
      </c>
      <c r="G173" s="196"/>
      <c r="H173" s="196"/>
      <c r="I173" s="196"/>
      <c r="K173" s="142" t="str">
        <f t="shared" si="17"/>
        <v/>
      </c>
      <c r="L173" s="142" t="str">
        <f t="shared" si="18"/>
        <v/>
      </c>
    </row>
    <row r="174" spans="1:12">
      <c r="A174" s="140" t="str">
        <f>IF(E174="","",VLOOKUP('Opći dio'!$C$3,'Opći dio'!$L$6:$U$136,10,FALSE))</f>
        <v/>
      </c>
      <c r="B174" s="140" t="str">
        <f>IF(E174="","",VLOOKUP('Opći dio'!$C$3,'Opći dio'!$L$6:$U$136,9,FALSE))</f>
        <v/>
      </c>
      <c r="C174" s="200" t="str">
        <f t="shared" si="14"/>
        <v/>
      </c>
      <c r="D174" s="139" t="str">
        <f t="shared" si="15"/>
        <v/>
      </c>
      <c r="E174" s="151"/>
      <c r="F174" s="204" t="str">
        <f t="shared" si="16"/>
        <v/>
      </c>
      <c r="G174" s="196"/>
      <c r="H174" s="196"/>
      <c r="I174" s="196"/>
      <c r="K174" s="142" t="str">
        <f t="shared" si="17"/>
        <v/>
      </c>
      <c r="L174" s="142" t="str">
        <f t="shared" si="18"/>
        <v/>
      </c>
    </row>
    <row r="175" spans="1:12">
      <c r="A175" s="140" t="str">
        <f>IF(E175="","",VLOOKUP('Opći dio'!$C$3,'Opći dio'!$L$6:$U$136,10,FALSE))</f>
        <v/>
      </c>
      <c r="B175" s="140" t="str">
        <f>IF(E175="","",VLOOKUP('Opći dio'!$C$3,'Opći dio'!$L$6:$U$136,9,FALSE))</f>
        <v/>
      </c>
      <c r="C175" s="200" t="str">
        <f t="shared" si="14"/>
        <v/>
      </c>
      <c r="D175" s="139" t="str">
        <f t="shared" si="15"/>
        <v/>
      </c>
      <c r="E175" s="151"/>
      <c r="F175" s="204" t="str">
        <f t="shared" si="16"/>
        <v/>
      </c>
      <c r="G175" s="196"/>
      <c r="H175" s="196"/>
      <c r="I175" s="196"/>
      <c r="K175" s="142" t="str">
        <f t="shared" si="17"/>
        <v/>
      </c>
      <c r="L175" s="142" t="str">
        <f t="shared" si="18"/>
        <v/>
      </c>
    </row>
    <row r="176" spans="1:12">
      <c r="A176" s="140" t="str">
        <f>IF(E176="","",VLOOKUP('Opći dio'!$C$3,'Opći dio'!$L$6:$U$136,10,FALSE))</f>
        <v/>
      </c>
      <c r="B176" s="140" t="str">
        <f>IF(E176="","",VLOOKUP('Opći dio'!$C$3,'Opći dio'!$L$6:$U$136,9,FALSE))</f>
        <v/>
      </c>
      <c r="C176" s="200" t="str">
        <f t="shared" si="14"/>
        <v/>
      </c>
      <c r="D176" s="139" t="str">
        <f t="shared" si="15"/>
        <v/>
      </c>
      <c r="E176" s="151"/>
      <c r="F176" s="204" t="str">
        <f t="shared" si="16"/>
        <v/>
      </c>
      <c r="G176" s="196"/>
      <c r="H176" s="196"/>
      <c r="I176" s="196"/>
      <c r="K176" s="142" t="str">
        <f t="shared" si="17"/>
        <v/>
      </c>
      <c r="L176" s="142" t="str">
        <f t="shared" si="18"/>
        <v/>
      </c>
    </row>
    <row r="177" spans="1:12">
      <c r="A177" s="140" t="str">
        <f>IF(E177="","",VLOOKUP('Opći dio'!$C$3,'Opći dio'!$L$6:$U$136,10,FALSE))</f>
        <v/>
      </c>
      <c r="B177" s="140" t="str">
        <f>IF(E177="","",VLOOKUP('Opći dio'!$C$3,'Opći dio'!$L$6:$U$136,9,FALSE))</f>
        <v/>
      </c>
      <c r="C177" s="200" t="str">
        <f t="shared" si="14"/>
        <v/>
      </c>
      <c r="D177" s="139" t="str">
        <f t="shared" si="15"/>
        <v/>
      </c>
      <c r="E177" s="151"/>
      <c r="F177" s="204" t="str">
        <f t="shared" si="16"/>
        <v/>
      </c>
      <c r="G177" s="196"/>
      <c r="H177" s="196"/>
      <c r="I177" s="196"/>
      <c r="K177" s="142" t="str">
        <f t="shared" si="17"/>
        <v/>
      </c>
      <c r="L177" s="142" t="str">
        <f t="shared" si="18"/>
        <v/>
      </c>
    </row>
    <row r="178" spans="1:12">
      <c r="A178" s="140" t="str">
        <f>IF(E178="","",VLOOKUP('Opći dio'!$C$3,'Opći dio'!$L$6:$U$136,10,FALSE))</f>
        <v/>
      </c>
      <c r="B178" s="140" t="str">
        <f>IF(E178="","",VLOOKUP('Opći dio'!$C$3,'Opći dio'!$L$6:$U$136,9,FALSE))</f>
        <v/>
      </c>
      <c r="C178" s="200" t="str">
        <f t="shared" si="14"/>
        <v/>
      </c>
      <c r="D178" s="139" t="str">
        <f t="shared" si="15"/>
        <v/>
      </c>
      <c r="E178" s="151"/>
      <c r="F178" s="204" t="str">
        <f t="shared" si="16"/>
        <v/>
      </c>
      <c r="G178" s="196"/>
      <c r="H178" s="196"/>
      <c r="I178" s="196"/>
      <c r="K178" s="142" t="str">
        <f t="shared" si="17"/>
        <v/>
      </c>
      <c r="L178" s="142" t="str">
        <f t="shared" si="18"/>
        <v/>
      </c>
    </row>
    <row r="179" spans="1:12">
      <c r="A179" s="140" t="str">
        <f>IF(E179="","",VLOOKUP('Opći dio'!$C$3,'Opći dio'!$L$6:$U$136,10,FALSE))</f>
        <v/>
      </c>
      <c r="B179" s="140" t="str">
        <f>IF(E179="","",VLOOKUP('Opći dio'!$C$3,'Opći dio'!$L$6:$U$136,9,FALSE))</f>
        <v/>
      </c>
      <c r="C179" s="200" t="str">
        <f t="shared" si="14"/>
        <v/>
      </c>
      <c r="D179" s="139" t="str">
        <f t="shared" si="15"/>
        <v/>
      </c>
      <c r="E179" s="151"/>
      <c r="F179" s="204" t="str">
        <f t="shared" si="16"/>
        <v/>
      </c>
      <c r="G179" s="196"/>
      <c r="H179" s="196"/>
      <c r="I179" s="196"/>
      <c r="K179" s="142" t="str">
        <f t="shared" si="17"/>
        <v/>
      </c>
      <c r="L179" s="142" t="str">
        <f t="shared" si="18"/>
        <v/>
      </c>
    </row>
    <row r="180" spans="1:12">
      <c r="A180" s="140" t="str">
        <f>IF(E180="","",VLOOKUP('Opći dio'!$C$3,'Opći dio'!$L$6:$U$136,10,FALSE))</f>
        <v/>
      </c>
      <c r="B180" s="140" t="str">
        <f>IF(E180="","",VLOOKUP('Opći dio'!$C$3,'Opći dio'!$L$6:$U$136,9,FALSE))</f>
        <v/>
      </c>
      <c r="C180" s="200" t="str">
        <f t="shared" si="14"/>
        <v/>
      </c>
      <c r="D180" s="139" t="str">
        <f t="shared" si="15"/>
        <v/>
      </c>
      <c r="E180" s="151"/>
      <c r="F180" s="204" t="str">
        <f t="shared" si="16"/>
        <v/>
      </c>
      <c r="G180" s="196"/>
      <c r="H180" s="196"/>
      <c r="I180" s="196"/>
      <c r="K180" s="142" t="str">
        <f t="shared" si="17"/>
        <v/>
      </c>
      <c r="L180" s="142" t="str">
        <f t="shared" si="18"/>
        <v/>
      </c>
    </row>
    <row r="181" spans="1:12">
      <c r="A181" s="140" t="str">
        <f>IF(E181="","",VLOOKUP('Opći dio'!$C$3,'Opći dio'!$L$6:$U$136,10,FALSE))</f>
        <v/>
      </c>
      <c r="B181" s="140" t="str">
        <f>IF(E181="","",VLOOKUP('Opći dio'!$C$3,'Opći dio'!$L$6:$U$136,9,FALSE))</f>
        <v/>
      </c>
      <c r="C181" s="200" t="str">
        <f t="shared" si="14"/>
        <v/>
      </c>
      <c r="D181" s="139" t="str">
        <f t="shared" si="15"/>
        <v/>
      </c>
      <c r="E181" s="151"/>
      <c r="F181" s="204" t="str">
        <f t="shared" si="16"/>
        <v/>
      </c>
      <c r="G181" s="196"/>
      <c r="H181" s="196"/>
      <c r="I181" s="196"/>
      <c r="K181" s="142" t="str">
        <f t="shared" si="17"/>
        <v/>
      </c>
      <c r="L181" s="142" t="str">
        <f t="shared" si="18"/>
        <v/>
      </c>
    </row>
    <row r="182" spans="1:12">
      <c r="A182" s="140" t="str">
        <f>IF(E182="","",VLOOKUP('Opći dio'!$C$3,'Opći dio'!$L$6:$U$136,10,FALSE))</f>
        <v/>
      </c>
      <c r="B182" s="140" t="str">
        <f>IF(E182="","",VLOOKUP('Opći dio'!$C$3,'Opći dio'!$L$6:$U$136,9,FALSE))</f>
        <v/>
      </c>
      <c r="C182" s="200" t="str">
        <f t="shared" si="14"/>
        <v/>
      </c>
      <c r="D182" s="139" t="str">
        <f t="shared" si="15"/>
        <v/>
      </c>
      <c r="E182" s="151"/>
      <c r="F182" s="204" t="str">
        <f t="shared" si="16"/>
        <v/>
      </c>
      <c r="G182" s="196"/>
      <c r="H182" s="196"/>
      <c r="I182" s="196"/>
      <c r="K182" s="142" t="str">
        <f t="shared" si="17"/>
        <v/>
      </c>
      <c r="L182" s="142" t="str">
        <f t="shared" si="18"/>
        <v/>
      </c>
    </row>
    <row r="183" spans="1:12">
      <c r="A183" s="140" t="str">
        <f>IF(E183="","",VLOOKUP('Opći dio'!$C$3,'Opći dio'!$L$6:$U$136,10,FALSE))</f>
        <v/>
      </c>
      <c r="B183" s="140" t="str">
        <f>IF(E183="","",VLOOKUP('Opći dio'!$C$3,'Opći dio'!$L$6:$U$136,9,FALSE))</f>
        <v/>
      </c>
      <c r="C183" s="200" t="str">
        <f t="shared" si="14"/>
        <v/>
      </c>
      <c r="D183" s="139" t="str">
        <f t="shared" si="15"/>
        <v/>
      </c>
      <c r="E183" s="151"/>
      <c r="F183" s="204" t="str">
        <f t="shared" si="16"/>
        <v/>
      </c>
      <c r="G183" s="196"/>
      <c r="H183" s="196"/>
      <c r="I183" s="196"/>
      <c r="K183" s="142" t="str">
        <f t="shared" si="17"/>
        <v/>
      </c>
      <c r="L183" s="142" t="str">
        <f t="shared" si="18"/>
        <v/>
      </c>
    </row>
    <row r="184" spans="1:12">
      <c r="A184" s="140" t="str">
        <f>IF(E184="","",VLOOKUP('Opći dio'!$C$3,'Opći dio'!$L$6:$U$136,10,FALSE))</f>
        <v/>
      </c>
      <c r="B184" s="140" t="str">
        <f>IF(E184="","",VLOOKUP('Opći dio'!$C$3,'Opći dio'!$L$6:$U$136,9,FALSE))</f>
        <v/>
      </c>
      <c r="C184" s="200" t="str">
        <f t="shared" si="14"/>
        <v/>
      </c>
      <c r="D184" s="139" t="str">
        <f t="shared" si="15"/>
        <v/>
      </c>
      <c r="E184" s="151"/>
      <c r="F184" s="204" t="str">
        <f t="shared" si="16"/>
        <v/>
      </c>
      <c r="G184" s="196"/>
      <c r="H184" s="196"/>
      <c r="I184" s="196"/>
      <c r="K184" s="142" t="str">
        <f t="shared" si="17"/>
        <v/>
      </c>
      <c r="L184" s="142" t="str">
        <f t="shared" si="18"/>
        <v/>
      </c>
    </row>
    <row r="185" spans="1:12">
      <c r="A185" s="140" t="str">
        <f>IF(E185="","",VLOOKUP('Opći dio'!$C$3,'Opći dio'!$L$6:$U$136,10,FALSE))</f>
        <v/>
      </c>
      <c r="B185" s="140" t="str">
        <f>IF(E185="","",VLOOKUP('Opći dio'!$C$3,'Opći dio'!$L$6:$U$136,9,FALSE))</f>
        <v/>
      </c>
      <c r="C185" s="200" t="str">
        <f t="shared" si="14"/>
        <v/>
      </c>
      <c r="D185" s="139" t="str">
        <f t="shared" si="15"/>
        <v/>
      </c>
      <c r="E185" s="151"/>
      <c r="F185" s="204" t="str">
        <f t="shared" si="16"/>
        <v/>
      </c>
      <c r="G185" s="196"/>
      <c r="H185" s="196"/>
      <c r="I185" s="196"/>
      <c r="K185" s="142" t="str">
        <f t="shared" si="17"/>
        <v/>
      </c>
      <c r="L185" s="142" t="str">
        <f t="shared" si="18"/>
        <v/>
      </c>
    </row>
    <row r="186" spans="1:12">
      <c r="A186" s="140" t="str">
        <f>IF(E186="","",VLOOKUP('Opći dio'!$C$3,'Opći dio'!$L$6:$U$136,10,FALSE))</f>
        <v/>
      </c>
      <c r="B186" s="140" t="str">
        <f>IF(E186="","",VLOOKUP('Opći dio'!$C$3,'Opći dio'!$L$6:$U$136,9,FALSE))</f>
        <v/>
      </c>
      <c r="C186" s="200" t="str">
        <f t="shared" si="14"/>
        <v/>
      </c>
      <c r="D186" s="139" t="str">
        <f t="shared" si="15"/>
        <v/>
      </c>
      <c r="E186" s="151"/>
      <c r="F186" s="204" t="str">
        <f t="shared" si="16"/>
        <v/>
      </c>
      <c r="G186" s="196"/>
      <c r="H186" s="196"/>
      <c r="I186" s="196"/>
      <c r="K186" s="142" t="str">
        <f t="shared" si="17"/>
        <v/>
      </c>
      <c r="L186" s="142" t="str">
        <f t="shared" si="18"/>
        <v/>
      </c>
    </row>
    <row r="187" spans="1:12">
      <c r="A187" s="140" t="str">
        <f>IF(E187="","",VLOOKUP('Opći dio'!$C$3,'Opći dio'!$L$6:$U$136,10,FALSE))</f>
        <v/>
      </c>
      <c r="B187" s="140" t="str">
        <f>IF(E187="","",VLOOKUP('Opći dio'!$C$3,'Opći dio'!$L$6:$U$136,9,FALSE))</f>
        <v/>
      </c>
      <c r="C187" s="200" t="str">
        <f t="shared" si="14"/>
        <v/>
      </c>
      <c r="D187" s="139" t="str">
        <f t="shared" si="15"/>
        <v/>
      </c>
      <c r="E187" s="151"/>
      <c r="F187" s="204" t="str">
        <f t="shared" si="16"/>
        <v/>
      </c>
      <c r="G187" s="196"/>
      <c r="H187" s="196"/>
      <c r="I187" s="196"/>
      <c r="K187" s="142" t="str">
        <f t="shared" si="17"/>
        <v/>
      </c>
      <c r="L187" s="142" t="str">
        <f t="shared" si="18"/>
        <v/>
      </c>
    </row>
    <row r="188" spans="1:12">
      <c r="A188" s="140" t="str">
        <f>IF(E188="","",VLOOKUP('Opći dio'!$C$3,'Opći dio'!$L$6:$U$136,10,FALSE))</f>
        <v/>
      </c>
      <c r="B188" s="140" t="str">
        <f>IF(E188="","",VLOOKUP('Opći dio'!$C$3,'Opći dio'!$L$6:$U$136,9,FALSE))</f>
        <v/>
      </c>
      <c r="C188" s="200" t="str">
        <f t="shared" si="14"/>
        <v/>
      </c>
      <c r="D188" s="139" t="str">
        <f t="shared" si="15"/>
        <v/>
      </c>
      <c r="E188" s="151"/>
      <c r="F188" s="204" t="str">
        <f t="shared" si="16"/>
        <v/>
      </c>
      <c r="G188" s="196"/>
      <c r="H188" s="196"/>
      <c r="I188" s="196"/>
      <c r="K188" s="142" t="str">
        <f t="shared" si="17"/>
        <v/>
      </c>
      <c r="L188" s="142" t="str">
        <f t="shared" si="18"/>
        <v/>
      </c>
    </row>
    <row r="189" spans="1:12">
      <c r="A189" s="140" t="str">
        <f>IF(E189="","",VLOOKUP('Opći dio'!$C$3,'Opći dio'!$L$6:$U$136,10,FALSE))</f>
        <v/>
      </c>
      <c r="B189" s="140" t="str">
        <f>IF(E189="","",VLOOKUP('Opći dio'!$C$3,'Opći dio'!$L$6:$U$136,9,FALSE))</f>
        <v/>
      </c>
      <c r="C189" s="200" t="str">
        <f t="shared" si="14"/>
        <v/>
      </c>
      <c r="D189" s="139" t="str">
        <f t="shared" si="15"/>
        <v/>
      </c>
      <c r="E189" s="151"/>
      <c r="F189" s="204" t="str">
        <f t="shared" si="16"/>
        <v/>
      </c>
      <c r="G189" s="196"/>
      <c r="H189" s="196"/>
      <c r="I189" s="196"/>
      <c r="K189" s="142" t="str">
        <f t="shared" si="17"/>
        <v/>
      </c>
      <c r="L189" s="142" t="str">
        <f t="shared" si="18"/>
        <v/>
      </c>
    </row>
    <row r="190" spans="1:12">
      <c r="A190" s="140" t="str">
        <f>IF(E190="","",VLOOKUP('Opći dio'!$C$3,'Opći dio'!$L$6:$U$136,10,FALSE))</f>
        <v/>
      </c>
      <c r="B190" s="140" t="str">
        <f>IF(E190="","",VLOOKUP('Opći dio'!$C$3,'Opći dio'!$L$6:$U$136,9,FALSE))</f>
        <v/>
      </c>
      <c r="C190" s="200" t="str">
        <f t="shared" si="14"/>
        <v/>
      </c>
      <c r="D190" s="139" t="str">
        <f t="shared" si="15"/>
        <v/>
      </c>
      <c r="E190" s="151"/>
      <c r="F190" s="204" t="str">
        <f t="shared" si="16"/>
        <v/>
      </c>
      <c r="G190" s="196"/>
      <c r="H190" s="196"/>
      <c r="I190" s="196"/>
      <c r="K190" s="142" t="str">
        <f t="shared" si="17"/>
        <v/>
      </c>
      <c r="L190" s="142" t="str">
        <f t="shared" si="18"/>
        <v/>
      </c>
    </row>
    <row r="191" spans="1:12">
      <c r="A191" s="140" t="str">
        <f>IF(E191="","",VLOOKUP('Opći dio'!$C$3,'Opći dio'!$L$6:$U$136,10,FALSE))</f>
        <v/>
      </c>
      <c r="B191" s="140" t="str">
        <f>IF(E191="","",VLOOKUP('Opći dio'!$C$3,'Opći dio'!$L$6:$U$136,9,FALSE))</f>
        <v/>
      </c>
      <c r="C191" s="200" t="str">
        <f t="shared" si="14"/>
        <v/>
      </c>
      <c r="D191" s="139" t="str">
        <f t="shared" si="15"/>
        <v/>
      </c>
      <c r="E191" s="151"/>
      <c r="F191" s="204" t="str">
        <f t="shared" si="16"/>
        <v/>
      </c>
      <c r="G191" s="196"/>
      <c r="H191" s="196"/>
      <c r="I191" s="196"/>
      <c r="K191" s="142" t="str">
        <f t="shared" si="17"/>
        <v/>
      </c>
      <c r="L191" s="142" t="str">
        <f t="shared" si="18"/>
        <v/>
      </c>
    </row>
    <row r="192" spans="1:12">
      <c r="A192" s="140" t="str">
        <f>IF(E192="","",VLOOKUP('Opći dio'!$C$3,'Opći dio'!$L$6:$U$136,10,FALSE))</f>
        <v/>
      </c>
      <c r="B192" s="140" t="str">
        <f>IF(E192="","",VLOOKUP('Opći dio'!$C$3,'Opći dio'!$L$6:$U$136,9,FALSE))</f>
        <v/>
      </c>
      <c r="C192" s="200" t="str">
        <f t="shared" si="14"/>
        <v/>
      </c>
      <c r="D192" s="139" t="str">
        <f t="shared" si="15"/>
        <v/>
      </c>
      <c r="E192" s="151"/>
      <c r="F192" s="204" t="str">
        <f t="shared" si="16"/>
        <v/>
      </c>
      <c r="G192" s="196"/>
      <c r="H192" s="196"/>
      <c r="I192" s="196"/>
      <c r="K192" s="142" t="str">
        <f t="shared" si="17"/>
        <v/>
      </c>
      <c r="L192" s="142" t="str">
        <f t="shared" si="18"/>
        <v/>
      </c>
    </row>
    <row r="193" spans="1:12">
      <c r="A193" s="140" t="str">
        <f>IF(E193="","",VLOOKUP('Opći dio'!$C$3,'Opći dio'!$L$6:$U$136,10,FALSE))</f>
        <v/>
      </c>
      <c r="B193" s="140" t="str">
        <f>IF(E193="","",VLOOKUP('Opći dio'!$C$3,'Opći dio'!$L$6:$U$136,9,FALSE))</f>
        <v/>
      </c>
      <c r="C193" s="200" t="str">
        <f t="shared" si="14"/>
        <v/>
      </c>
      <c r="D193" s="139" t="str">
        <f t="shared" si="15"/>
        <v/>
      </c>
      <c r="E193" s="151"/>
      <c r="F193" s="204" t="str">
        <f t="shared" si="16"/>
        <v/>
      </c>
      <c r="G193" s="196"/>
      <c r="H193" s="196"/>
      <c r="I193" s="196"/>
      <c r="K193" s="142" t="str">
        <f t="shared" si="17"/>
        <v/>
      </c>
      <c r="L193" s="142" t="str">
        <f t="shared" si="18"/>
        <v/>
      </c>
    </row>
    <row r="194" spans="1:12">
      <c r="A194" s="140" t="str">
        <f>IF(E194="","",VLOOKUP('Opći dio'!$C$3,'Opći dio'!$L$6:$U$136,10,FALSE))</f>
        <v/>
      </c>
      <c r="B194" s="140" t="str">
        <f>IF(E194="","",VLOOKUP('Opći dio'!$C$3,'Opći dio'!$L$6:$U$136,9,FALSE))</f>
        <v/>
      </c>
      <c r="C194" s="200" t="str">
        <f t="shared" si="14"/>
        <v/>
      </c>
      <c r="D194" s="139" t="str">
        <f t="shared" si="15"/>
        <v/>
      </c>
      <c r="E194" s="151"/>
      <c r="F194" s="204" t="str">
        <f t="shared" si="16"/>
        <v/>
      </c>
      <c r="G194" s="196"/>
      <c r="H194" s="196"/>
      <c r="I194" s="196"/>
      <c r="K194" s="142" t="str">
        <f t="shared" si="17"/>
        <v/>
      </c>
      <c r="L194" s="142" t="str">
        <f t="shared" si="18"/>
        <v/>
      </c>
    </row>
    <row r="195" spans="1:12">
      <c r="A195" s="140" t="str">
        <f>IF(E195="","",VLOOKUP('Opći dio'!$C$3,'Opći dio'!$L$6:$U$136,10,FALSE))</f>
        <v/>
      </c>
      <c r="B195" s="140" t="str">
        <f>IF(E195="","",VLOOKUP('Opći dio'!$C$3,'Opći dio'!$L$6:$U$136,9,FALSE))</f>
        <v/>
      </c>
      <c r="C195" s="200" t="str">
        <f t="shared" si="14"/>
        <v/>
      </c>
      <c r="D195" s="139" t="str">
        <f t="shared" si="15"/>
        <v/>
      </c>
      <c r="E195" s="151"/>
      <c r="F195" s="204" t="str">
        <f t="shared" si="16"/>
        <v/>
      </c>
      <c r="G195" s="196"/>
      <c r="H195" s="196"/>
      <c r="I195" s="196"/>
      <c r="K195" s="142" t="str">
        <f t="shared" si="17"/>
        <v/>
      </c>
      <c r="L195" s="142" t="str">
        <f t="shared" si="18"/>
        <v/>
      </c>
    </row>
    <row r="196" spans="1:12">
      <c r="A196" s="140" t="str">
        <f>IF(E196="","",VLOOKUP('Opći dio'!$C$3,'Opći dio'!$L$6:$U$136,10,FALSE))</f>
        <v/>
      </c>
      <c r="B196" s="140" t="str">
        <f>IF(E196="","",VLOOKUP('Opći dio'!$C$3,'Opći dio'!$L$6:$U$136,9,FALSE))</f>
        <v/>
      </c>
      <c r="C196" s="200" t="str">
        <f t="shared" ref="C196:C259" si="19">IFERROR(VLOOKUP(E196,$Q$6:$T$90,3,FALSE),"")</f>
        <v/>
      </c>
      <c r="D196" s="139" t="str">
        <f t="shared" ref="D196:D259" si="20">IFERROR(VLOOKUP(E196,$Q$6:$T$90,4,FALSE),"")</f>
        <v/>
      </c>
      <c r="E196" s="151"/>
      <c r="F196" s="204" t="str">
        <f t="shared" ref="F196:F259" si="21">IFERROR(VLOOKUP(E196,$Q$6:$T$90,2,FALSE),"")</f>
        <v/>
      </c>
      <c r="G196" s="196"/>
      <c r="H196" s="196"/>
      <c r="I196" s="196"/>
      <c r="K196" s="142" t="str">
        <f t="shared" ref="K196:K259" si="22">LEFT(E196,3)</f>
        <v/>
      </c>
      <c r="L196" s="142" t="str">
        <f t="shared" ref="L196:L259" si="23">LEFT(E196,2)</f>
        <v/>
      </c>
    </row>
    <row r="197" spans="1:12">
      <c r="A197" s="140" t="str">
        <f>IF(E197="","",VLOOKUP('Opći dio'!$C$3,'Opći dio'!$L$6:$U$136,10,FALSE))</f>
        <v/>
      </c>
      <c r="B197" s="140" t="str">
        <f>IF(E197="","",VLOOKUP('Opći dio'!$C$3,'Opći dio'!$L$6:$U$136,9,FALSE))</f>
        <v/>
      </c>
      <c r="C197" s="200" t="str">
        <f t="shared" si="19"/>
        <v/>
      </c>
      <c r="D197" s="139" t="str">
        <f t="shared" si="20"/>
        <v/>
      </c>
      <c r="E197" s="151"/>
      <c r="F197" s="204" t="str">
        <f t="shared" si="21"/>
        <v/>
      </c>
      <c r="G197" s="196"/>
      <c r="H197" s="196"/>
      <c r="I197" s="196"/>
      <c r="K197" s="142" t="str">
        <f t="shared" si="22"/>
        <v/>
      </c>
      <c r="L197" s="142" t="str">
        <f t="shared" si="23"/>
        <v/>
      </c>
    </row>
    <row r="198" spans="1:12">
      <c r="A198" s="140" t="str">
        <f>IF(E198="","",VLOOKUP('Opći dio'!$C$3,'Opći dio'!$L$6:$U$136,10,FALSE))</f>
        <v/>
      </c>
      <c r="B198" s="140" t="str">
        <f>IF(E198="","",VLOOKUP('Opći dio'!$C$3,'Opći dio'!$L$6:$U$136,9,FALSE))</f>
        <v/>
      </c>
      <c r="C198" s="200" t="str">
        <f t="shared" si="19"/>
        <v/>
      </c>
      <c r="D198" s="139" t="str">
        <f t="shared" si="20"/>
        <v/>
      </c>
      <c r="E198" s="151"/>
      <c r="F198" s="204" t="str">
        <f t="shared" si="21"/>
        <v/>
      </c>
      <c r="G198" s="196"/>
      <c r="H198" s="196"/>
      <c r="I198" s="196"/>
      <c r="K198" s="142" t="str">
        <f t="shared" si="22"/>
        <v/>
      </c>
      <c r="L198" s="142" t="str">
        <f t="shared" si="23"/>
        <v/>
      </c>
    </row>
    <row r="199" spans="1:12">
      <c r="A199" s="140" t="str">
        <f>IF(E199="","",VLOOKUP('Opći dio'!$C$3,'Opći dio'!$L$6:$U$136,10,FALSE))</f>
        <v/>
      </c>
      <c r="B199" s="140" t="str">
        <f>IF(E199="","",VLOOKUP('Opći dio'!$C$3,'Opći dio'!$L$6:$U$136,9,FALSE))</f>
        <v/>
      </c>
      <c r="C199" s="200" t="str">
        <f t="shared" si="19"/>
        <v/>
      </c>
      <c r="D199" s="139" t="str">
        <f t="shared" si="20"/>
        <v/>
      </c>
      <c r="E199" s="151"/>
      <c r="F199" s="204" t="str">
        <f t="shared" si="21"/>
        <v/>
      </c>
      <c r="G199" s="196"/>
      <c r="H199" s="196"/>
      <c r="I199" s="196"/>
      <c r="K199" s="142" t="str">
        <f t="shared" si="22"/>
        <v/>
      </c>
      <c r="L199" s="142" t="str">
        <f t="shared" si="23"/>
        <v/>
      </c>
    </row>
    <row r="200" spans="1:12">
      <c r="A200" s="140" t="str">
        <f>IF(E200="","",VLOOKUP('Opći dio'!$C$3,'Opći dio'!$L$6:$U$136,10,FALSE))</f>
        <v/>
      </c>
      <c r="B200" s="140" t="str">
        <f>IF(E200="","",VLOOKUP('Opći dio'!$C$3,'Opći dio'!$L$6:$U$136,9,FALSE))</f>
        <v/>
      </c>
      <c r="C200" s="200" t="str">
        <f t="shared" si="19"/>
        <v/>
      </c>
      <c r="D200" s="139" t="str">
        <f t="shared" si="20"/>
        <v/>
      </c>
      <c r="E200" s="151"/>
      <c r="F200" s="204" t="str">
        <f t="shared" si="21"/>
        <v/>
      </c>
      <c r="G200" s="196"/>
      <c r="H200" s="196"/>
      <c r="I200" s="196"/>
      <c r="K200" s="142" t="str">
        <f t="shared" si="22"/>
        <v/>
      </c>
      <c r="L200" s="142" t="str">
        <f t="shared" si="23"/>
        <v/>
      </c>
    </row>
    <row r="201" spans="1:12">
      <c r="A201" s="140" t="str">
        <f>IF(E201="","",VLOOKUP('Opći dio'!$C$3,'Opći dio'!$L$6:$U$136,10,FALSE))</f>
        <v/>
      </c>
      <c r="B201" s="140" t="str">
        <f>IF(E201="","",VLOOKUP('Opći dio'!$C$3,'Opći dio'!$L$6:$U$136,9,FALSE))</f>
        <v/>
      </c>
      <c r="C201" s="200" t="str">
        <f t="shared" si="19"/>
        <v/>
      </c>
      <c r="D201" s="139" t="str">
        <f t="shared" si="20"/>
        <v/>
      </c>
      <c r="E201" s="151"/>
      <c r="F201" s="204" t="str">
        <f t="shared" si="21"/>
        <v/>
      </c>
      <c r="G201" s="196"/>
      <c r="H201" s="196"/>
      <c r="I201" s="196"/>
      <c r="K201" s="142" t="str">
        <f t="shared" si="22"/>
        <v/>
      </c>
      <c r="L201" s="142" t="str">
        <f t="shared" si="23"/>
        <v/>
      </c>
    </row>
    <row r="202" spans="1:12">
      <c r="A202" s="140" t="str">
        <f>IF(E202="","",VLOOKUP('Opći dio'!$C$3,'Opći dio'!$L$6:$U$136,10,FALSE))</f>
        <v/>
      </c>
      <c r="B202" s="140" t="str">
        <f>IF(E202="","",VLOOKUP('Opći dio'!$C$3,'Opći dio'!$L$6:$U$136,9,FALSE))</f>
        <v/>
      </c>
      <c r="C202" s="200" t="str">
        <f t="shared" si="19"/>
        <v/>
      </c>
      <c r="D202" s="139" t="str">
        <f t="shared" si="20"/>
        <v/>
      </c>
      <c r="E202" s="151"/>
      <c r="F202" s="204" t="str">
        <f t="shared" si="21"/>
        <v/>
      </c>
      <c r="G202" s="196"/>
      <c r="H202" s="196"/>
      <c r="I202" s="196"/>
      <c r="K202" s="142" t="str">
        <f t="shared" si="22"/>
        <v/>
      </c>
      <c r="L202" s="142" t="str">
        <f t="shared" si="23"/>
        <v/>
      </c>
    </row>
    <row r="203" spans="1:12">
      <c r="A203" s="140" t="str">
        <f>IF(E203="","",VLOOKUP('Opći dio'!$C$3,'Opći dio'!$L$6:$U$136,10,FALSE))</f>
        <v/>
      </c>
      <c r="B203" s="140" t="str">
        <f>IF(E203="","",VLOOKUP('Opći dio'!$C$3,'Opći dio'!$L$6:$U$136,9,FALSE))</f>
        <v/>
      </c>
      <c r="C203" s="200" t="str">
        <f t="shared" si="19"/>
        <v/>
      </c>
      <c r="D203" s="139" t="str">
        <f t="shared" si="20"/>
        <v/>
      </c>
      <c r="E203" s="151"/>
      <c r="F203" s="204" t="str">
        <f t="shared" si="21"/>
        <v/>
      </c>
      <c r="G203" s="196"/>
      <c r="H203" s="196"/>
      <c r="I203" s="196"/>
      <c r="K203" s="142" t="str">
        <f t="shared" si="22"/>
        <v/>
      </c>
      <c r="L203" s="142" t="str">
        <f t="shared" si="23"/>
        <v/>
      </c>
    </row>
    <row r="204" spans="1:12">
      <c r="A204" s="140" t="str">
        <f>IF(E204="","",VLOOKUP('Opći dio'!$C$3,'Opći dio'!$L$6:$U$136,10,FALSE))</f>
        <v/>
      </c>
      <c r="B204" s="140" t="str">
        <f>IF(E204="","",VLOOKUP('Opći dio'!$C$3,'Opći dio'!$L$6:$U$136,9,FALSE))</f>
        <v/>
      </c>
      <c r="C204" s="200" t="str">
        <f t="shared" si="19"/>
        <v/>
      </c>
      <c r="D204" s="139" t="str">
        <f t="shared" si="20"/>
        <v/>
      </c>
      <c r="E204" s="151"/>
      <c r="F204" s="204" t="str">
        <f t="shared" si="21"/>
        <v/>
      </c>
      <c r="G204" s="196"/>
      <c r="H204" s="196"/>
      <c r="I204" s="196"/>
      <c r="K204" s="142" t="str">
        <f t="shared" si="22"/>
        <v/>
      </c>
      <c r="L204" s="142" t="str">
        <f t="shared" si="23"/>
        <v/>
      </c>
    </row>
    <row r="205" spans="1:12">
      <c r="A205" s="140" t="str">
        <f>IF(E205="","",VLOOKUP('Opći dio'!$C$3,'Opći dio'!$L$6:$U$136,10,FALSE))</f>
        <v/>
      </c>
      <c r="B205" s="140" t="str">
        <f>IF(E205="","",VLOOKUP('Opći dio'!$C$3,'Opći dio'!$L$6:$U$136,9,FALSE))</f>
        <v/>
      </c>
      <c r="C205" s="200" t="str">
        <f t="shared" si="19"/>
        <v/>
      </c>
      <c r="D205" s="139" t="str">
        <f t="shared" si="20"/>
        <v/>
      </c>
      <c r="E205" s="151"/>
      <c r="F205" s="204" t="str">
        <f t="shared" si="21"/>
        <v/>
      </c>
      <c r="G205" s="196"/>
      <c r="H205" s="196"/>
      <c r="I205" s="196"/>
      <c r="K205" s="142" t="str">
        <f t="shared" si="22"/>
        <v/>
      </c>
      <c r="L205" s="142" t="str">
        <f t="shared" si="23"/>
        <v/>
      </c>
    </row>
    <row r="206" spans="1:12">
      <c r="A206" s="140" t="str">
        <f>IF(E206="","",VLOOKUP('Opći dio'!$C$3,'Opći dio'!$L$6:$U$136,10,FALSE))</f>
        <v/>
      </c>
      <c r="B206" s="140" t="str">
        <f>IF(E206="","",VLOOKUP('Opći dio'!$C$3,'Opći dio'!$L$6:$U$136,9,FALSE))</f>
        <v/>
      </c>
      <c r="C206" s="200" t="str">
        <f t="shared" si="19"/>
        <v/>
      </c>
      <c r="D206" s="139" t="str">
        <f t="shared" si="20"/>
        <v/>
      </c>
      <c r="E206" s="151"/>
      <c r="F206" s="204" t="str">
        <f t="shared" si="21"/>
        <v/>
      </c>
      <c r="G206" s="196"/>
      <c r="H206" s="196"/>
      <c r="I206" s="196"/>
      <c r="K206" s="142" t="str">
        <f t="shared" si="22"/>
        <v/>
      </c>
      <c r="L206" s="142" t="str">
        <f t="shared" si="23"/>
        <v/>
      </c>
    </row>
    <row r="207" spans="1:12">
      <c r="A207" s="140" t="str">
        <f>IF(E207="","",VLOOKUP('Opći dio'!$C$3,'Opći dio'!$L$6:$U$136,10,FALSE))</f>
        <v/>
      </c>
      <c r="B207" s="140" t="str">
        <f>IF(E207="","",VLOOKUP('Opći dio'!$C$3,'Opći dio'!$L$6:$U$136,9,FALSE))</f>
        <v/>
      </c>
      <c r="C207" s="200" t="str">
        <f t="shared" si="19"/>
        <v/>
      </c>
      <c r="D207" s="139" t="str">
        <f t="shared" si="20"/>
        <v/>
      </c>
      <c r="E207" s="151"/>
      <c r="F207" s="204" t="str">
        <f t="shared" si="21"/>
        <v/>
      </c>
      <c r="G207" s="196"/>
      <c r="H207" s="196"/>
      <c r="I207" s="196"/>
      <c r="K207" s="142" t="str">
        <f t="shared" si="22"/>
        <v/>
      </c>
      <c r="L207" s="142" t="str">
        <f t="shared" si="23"/>
        <v/>
      </c>
    </row>
    <row r="208" spans="1:12">
      <c r="A208" s="140" t="str">
        <f>IF(E208="","",VLOOKUP('Opći dio'!$C$3,'Opći dio'!$L$6:$U$136,10,FALSE))</f>
        <v/>
      </c>
      <c r="B208" s="140" t="str">
        <f>IF(E208="","",VLOOKUP('Opći dio'!$C$3,'Opći dio'!$L$6:$U$136,9,FALSE))</f>
        <v/>
      </c>
      <c r="C208" s="200" t="str">
        <f t="shared" si="19"/>
        <v/>
      </c>
      <c r="D208" s="139" t="str">
        <f t="shared" si="20"/>
        <v/>
      </c>
      <c r="E208" s="151"/>
      <c r="F208" s="204" t="str">
        <f t="shared" si="21"/>
        <v/>
      </c>
      <c r="G208" s="196"/>
      <c r="H208" s="196"/>
      <c r="I208" s="196"/>
      <c r="K208" s="142" t="str">
        <f t="shared" si="22"/>
        <v/>
      </c>
      <c r="L208" s="142" t="str">
        <f t="shared" si="23"/>
        <v/>
      </c>
    </row>
    <row r="209" spans="1:12">
      <c r="A209" s="140" t="str">
        <f>IF(E209="","",VLOOKUP('Opći dio'!$C$3,'Opći dio'!$L$6:$U$136,10,FALSE))</f>
        <v/>
      </c>
      <c r="B209" s="140" t="str">
        <f>IF(E209="","",VLOOKUP('Opći dio'!$C$3,'Opći dio'!$L$6:$U$136,9,FALSE))</f>
        <v/>
      </c>
      <c r="C209" s="200" t="str">
        <f t="shared" si="19"/>
        <v/>
      </c>
      <c r="D209" s="139" t="str">
        <f t="shared" si="20"/>
        <v/>
      </c>
      <c r="E209" s="151"/>
      <c r="F209" s="204" t="str">
        <f t="shared" si="21"/>
        <v/>
      </c>
      <c r="G209" s="196"/>
      <c r="H209" s="196"/>
      <c r="I209" s="196"/>
      <c r="K209" s="142" t="str">
        <f t="shared" si="22"/>
        <v/>
      </c>
      <c r="L209" s="142" t="str">
        <f t="shared" si="23"/>
        <v/>
      </c>
    </row>
    <row r="210" spans="1:12">
      <c r="A210" s="140" t="str">
        <f>IF(E210="","",VLOOKUP('Opći dio'!$C$3,'Opći dio'!$L$6:$U$136,10,FALSE))</f>
        <v/>
      </c>
      <c r="B210" s="140" t="str">
        <f>IF(E210="","",VLOOKUP('Opći dio'!$C$3,'Opći dio'!$L$6:$U$136,9,FALSE))</f>
        <v/>
      </c>
      <c r="C210" s="200" t="str">
        <f t="shared" si="19"/>
        <v/>
      </c>
      <c r="D210" s="139" t="str">
        <f t="shared" si="20"/>
        <v/>
      </c>
      <c r="E210" s="151"/>
      <c r="F210" s="204" t="str">
        <f t="shared" si="21"/>
        <v/>
      </c>
      <c r="G210" s="196"/>
      <c r="H210" s="196"/>
      <c r="I210" s="196"/>
      <c r="K210" s="142" t="str">
        <f t="shared" si="22"/>
        <v/>
      </c>
      <c r="L210" s="142" t="str">
        <f t="shared" si="23"/>
        <v/>
      </c>
    </row>
    <row r="211" spans="1:12">
      <c r="A211" s="140" t="str">
        <f>IF(E211="","",VLOOKUP('Opći dio'!$C$3,'Opći dio'!$L$6:$U$136,10,FALSE))</f>
        <v/>
      </c>
      <c r="B211" s="140" t="str">
        <f>IF(E211="","",VLOOKUP('Opći dio'!$C$3,'Opći dio'!$L$6:$U$136,9,FALSE))</f>
        <v/>
      </c>
      <c r="C211" s="200" t="str">
        <f t="shared" si="19"/>
        <v/>
      </c>
      <c r="D211" s="139" t="str">
        <f t="shared" si="20"/>
        <v/>
      </c>
      <c r="E211" s="151"/>
      <c r="F211" s="204" t="str">
        <f t="shared" si="21"/>
        <v/>
      </c>
      <c r="G211" s="196"/>
      <c r="H211" s="196"/>
      <c r="I211" s="196"/>
      <c r="K211" s="142" t="str">
        <f t="shared" si="22"/>
        <v/>
      </c>
      <c r="L211" s="142" t="str">
        <f t="shared" si="23"/>
        <v/>
      </c>
    </row>
    <row r="212" spans="1:12">
      <c r="A212" s="140" t="str">
        <f>IF(E212="","",VLOOKUP('Opći dio'!$C$3,'Opći dio'!$L$6:$U$136,10,FALSE))</f>
        <v/>
      </c>
      <c r="B212" s="140" t="str">
        <f>IF(E212="","",VLOOKUP('Opći dio'!$C$3,'Opći dio'!$L$6:$U$136,9,FALSE))</f>
        <v/>
      </c>
      <c r="C212" s="200" t="str">
        <f t="shared" si="19"/>
        <v/>
      </c>
      <c r="D212" s="139" t="str">
        <f t="shared" si="20"/>
        <v/>
      </c>
      <c r="E212" s="151"/>
      <c r="F212" s="204" t="str">
        <f t="shared" si="21"/>
        <v/>
      </c>
      <c r="G212" s="196"/>
      <c r="H212" s="196"/>
      <c r="I212" s="196"/>
      <c r="K212" s="142" t="str">
        <f t="shared" si="22"/>
        <v/>
      </c>
      <c r="L212" s="142" t="str">
        <f t="shared" si="23"/>
        <v/>
      </c>
    </row>
    <row r="213" spans="1:12">
      <c r="A213" s="140" t="str">
        <f>IF(E213="","",VLOOKUP('Opći dio'!$C$3,'Opći dio'!$L$6:$U$136,10,FALSE))</f>
        <v/>
      </c>
      <c r="B213" s="140" t="str">
        <f>IF(E213="","",VLOOKUP('Opći dio'!$C$3,'Opći dio'!$L$6:$U$136,9,FALSE))</f>
        <v/>
      </c>
      <c r="C213" s="200" t="str">
        <f t="shared" si="19"/>
        <v/>
      </c>
      <c r="D213" s="139" t="str">
        <f t="shared" si="20"/>
        <v/>
      </c>
      <c r="E213" s="151"/>
      <c r="F213" s="204" t="str">
        <f t="shared" si="21"/>
        <v/>
      </c>
      <c r="G213" s="196"/>
      <c r="H213" s="196"/>
      <c r="I213" s="196"/>
      <c r="K213" s="142" t="str">
        <f t="shared" si="22"/>
        <v/>
      </c>
      <c r="L213" s="142" t="str">
        <f t="shared" si="23"/>
        <v/>
      </c>
    </row>
    <row r="214" spans="1:12">
      <c r="A214" s="140" t="str">
        <f>IF(E214="","",VLOOKUP('Opći dio'!$C$3,'Opći dio'!$L$6:$U$136,10,FALSE))</f>
        <v/>
      </c>
      <c r="B214" s="140" t="str">
        <f>IF(E214="","",VLOOKUP('Opći dio'!$C$3,'Opći dio'!$L$6:$U$136,9,FALSE))</f>
        <v/>
      </c>
      <c r="C214" s="200" t="str">
        <f t="shared" si="19"/>
        <v/>
      </c>
      <c r="D214" s="139" t="str">
        <f t="shared" si="20"/>
        <v/>
      </c>
      <c r="E214" s="151"/>
      <c r="F214" s="204" t="str">
        <f t="shared" si="21"/>
        <v/>
      </c>
      <c r="G214" s="196"/>
      <c r="H214" s="196"/>
      <c r="I214" s="196"/>
      <c r="K214" s="142" t="str">
        <f t="shared" si="22"/>
        <v/>
      </c>
      <c r="L214" s="142" t="str">
        <f t="shared" si="23"/>
        <v/>
      </c>
    </row>
    <row r="215" spans="1:12">
      <c r="A215" s="140" t="str">
        <f>IF(E215="","",VLOOKUP('Opći dio'!$C$3,'Opći dio'!$L$6:$U$136,10,FALSE))</f>
        <v/>
      </c>
      <c r="B215" s="140" t="str">
        <f>IF(E215="","",VLOOKUP('Opći dio'!$C$3,'Opći dio'!$L$6:$U$136,9,FALSE))</f>
        <v/>
      </c>
      <c r="C215" s="200" t="str">
        <f t="shared" si="19"/>
        <v/>
      </c>
      <c r="D215" s="139" t="str">
        <f t="shared" si="20"/>
        <v/>
      </c>
      <c r="E215" s="151"/>
      <c r="F215" s="204" t="str">
        <f t="shared" si="21"/>
        <v/>
      </c>
      <c r="G215" s="196"/>
      <c r="H215" s="196"/>
      <c r="I215" s="196"/>
      <c r="K215" s="142" t="str">
        <f t="shared" si="22"/>
        <v/>
      </c>
      <c r="L215" s="142" t="str">
        <f t="shared" si="23"/>
        <v/>
      </c>
    </row>
    <row r="216" spans="1:12">
      <c r="A216" s="140" t="str">
        <f>IF(E216="","",VLOOKUP('Opći dio'!$C$3,'Opći dio'!$L$6:$U$136,10,FALSE))</f>
        <v/>
      </c>
      <c r="B216" s="140" t="str">
        <f>IF(E216="","",VLOOKUP('Opći dio'!$C$3,'Opći dio'!$L$6:$U$136,9,FALSE))</f>
        <v/>
      </c>
      <c r="C216" s="200" t="str">
        <f t="shared" si="19"/>
        <v/>
      </c>
      <c r="D216" s="139" t="str">
        <f t="shared" si="20"/>
        <v/>
      </c>
      <c r="E216" s="151"/>
      <c r="F216" s="204" t="str">
        <f t="shared" si="21"/>
        <v/>
      </c>
      <c r="G216" s="196"/>
      <c r="H216" s="196"/>
      <c r="I216" s="196"/>
      <c r="K216" s="142" t="str">
        <f t="shared" si="22"/>
        <v/>
      </c>
      <c r="L216" s="142" t="str">
        <f t="shared" si="23"/>
        <v/>
      </c>
    </row>
    <row r="217" spans="1:12">
      <c r="A217" s="140" t="str">
        <f>IF(E217="","",VLOOKUP('Opći dio'!$C$3,'Opći dio'!$L$6:$U$136,10,FALSE))</f>
        <v/>
      </c>
      <c r="B217" s="140" t="str">
        <f>IF(E217="","",VLOOKUP('Opći dio'!$C$3,'Opći dio'!$L$6:$U$136,9,FALSE))</f>
        <v/>
      </c>
      <c r="C217" s="200" t="str">
        <f t="shared" si="19"/>
        <v/>
      </c>
      <c r="D217" s="139" t="str">
        <f t="shared" si="20"/>
        <v/>
      </c>
      <c r="E217" s="151"/>
      <c r="F217" s="204" t="str">
        <f t="shared" si="21"/>
        <v/>
      </c>
      <c r="G217" s="196"/>
      <c r="H217" s="196"/>
      <c r="I217" s="196"/>
      <c r="K217" s="142" t="str">
        <f t="shared" si="22"/>
        <v/>
      </c>
      <c r="L217" s="142" t="str">
        <f t="shared" si="23"/>
        <v/>
      </c>
    </row>
    <row r="218" spans="1:12">
      <c r="A218" s="140" t="str">
        <f>IF(E218="","",VLOOKUP('Opći dio'!$C$3,'Opći dio'!$L$6:$U$136,10,FALSE))</f>
        <v/>
      </c>
      <c r="B218" s="140" t="str">
        <f>IF(E218="","",VLOOKUP('Opći dio'!$C$3,'Opći dio'!$L$6:$U$136,9,FALSE))</f>
        <v/>
      </c>
      <c r="C218" s="200" t="str">
        <f t="shared" si="19"/>
        <v/>
      </c>
      <c r="D218" s="139" t="str">
        <f t="shared" si="20"/>
        <v/>
      </c>
      <c r="E218" s="151"/>
      <c r="F218" s="204" t="str">
        <f t="shared" si="21"/>
        <v/>
      </c>
      <c r="G218" s="196"/>
      <c r="H218" s="196"/>
      <c r="I218" s="196"/>
      <c r="K218" s="142" t="str">
        <f t="shared" si="22"/>
        <v/>
      </c>
      <c r="L218" s="142" t="str">
        <f t="shared" si="23"/>
        <v/>
      </c>
    </row>
    <row r="219" spans="1:12">
      <c r="A219" s="140" t="str">
        <f>IF(E219="","",VLOOKUP('Opći dio'!$C$3,'Opći dio'!$L$6:$U$136,10,FALSE))</f>
        <v/>
      </c>
      <c r="B219" s="140" t="str">
        <f>IF(E219="","",VLOOKUP('Opći dio'!$C$3,'Opći dio'!$L$6:$U$136,9,FALSE))</f>
        <v/>
      </c>
      <c r="C219" s="200" t="str">
        <f t="shared" si="19"/>
        <v/>
      </c>
      <c r="D219" s="139" t="str">
        <f t="shared" si="20"/>
        <v/>
      </c>
      <c r="E219" s="151"/>
      <c r="F219" s="204" t="str">
        <f t="shared" si="21"/>
        <v/>
      </c>
      <c r="G219" s="196"/>
      <c r="H219" s="196"/>
      <c r="I219" s="196"/>
      <c r="K219" s="142" t="str">
        <f t="shared" si="22"/>
        <v/>
      </c>
      <c r="L219" s="142" t="str">
        <f t="shared" si="23"/>
        <v/>
      </c>
    </row>
    <row r="220" spans="1:12">
      <c r="A220" s="140" t="str">
        <f>IF(E220="","",VLOOKUP('Opći dio'!$C$3,'Opći dio'!$L$6:$U$136,10,FALSE))</f>
        <v/>
      </c>
      <c r="B220" s="140" t="str">
        <f>IF(E220="","",VLOOKUP('Opći dio'!$C$3,'Opći dio'!$L$6:$U$136,9,FALSE))</f>
        <v/>
      </c>
      <c r="C220" s="200" t="str">
        <f t="shared" si="19"/>
        <v/>
      </c>
      <c r="D220" s="139" t="str">
        <f t="shared" si="20"/>
        <v/>
      </c>
      <c r="E220" s="151"/>
      <c r="F220" s="204" t="str">
        <f t="shared" si="21"/>
        <v/>
      </c>
      <c r="G220" s="196"/>
      <c r="H220" s="196"/>
      <c r="I220" s="196"/>
      <c r="K220" s="142" t="str">
        <f t="shared" si="22"/>
        <v/>
      </c>
      <c r="L220" s="142" t="str">
        <f t="shared" si="23"/>
        <v/>
      </c>
    </row>
    <row r="221" spans="1:12">
      <c r="A221" s="140" t="str">
        <f>IF(E221="","",VLOOKUP('Opći dio'!$C$3,'Opći dio'!$L$6:$U$136,10,FALSE))</f>
        <v/>
      </c>
      <c r="B221" s="140" t="str">
        <f>IF(E221="","",VLOOKUP('Opći dio'!$C$3,'Opći dio'!$L$6:$U$136,9,FALSE))</f>
        <v/>
      </c>
      <c r="C221" s="200" t="str">
        <f t="shared" si="19"/>
        <v/>
      </c>
      <c r="D221" s="139" t="str">
        <f t="shared" si="20"/>
        <v/>
      </c>
      <c r="E221" s="151"/>
      <c r="F221" s="204" t="str">
        <f t="shared" si="21"/>
        <v/>
      </c>
      <c r="G221" s="196"/>
      <c r="H221" s="196"/>
      <c r="I221" s="196"/>
      <c r="K221" s="142" t="str">
        <f t="shared" si="22"/>
        <v/>
      </c>
      <c r="L221" s="142" t="str">
        <f t="shared" si="23"/>
        <v/>
      </c>
    </row>
    <row r="222" spans="1:12">
      <c r="A222" s="140" t="str">
        <f>IF(E222="","",VLOOKUP('Opći dio'!$C$3,'Opći dio'!$L$6:$U$136,10,FALSE))</f>
        <v/>
      </c>
      <c r="B222" s="140" t="str">
        <f>IF(E222="","",VLOOKUP('Opći dio'!$C$3,'Opći dio'!$L$6:$U$136,9,FALSE))</f>
        <v/>
      </c>
      <c r="C222" s="200" t="str">
        <f t="shared" si="19"/>
        <v/>
      </c>
      <c r="D222" s="139" t="str">
        <f t="shared" si="20"/>
        <v/>
      </c>
      <c r="E222" s="151"/>
      <c r="F222" s="204" t="str">
        <f t="shared" si="21"/>
        <v/>
      </c>
      <c r="G222" s="196"/>
      <c r="H222" s="196"/>
      <c r="I222" s="196"/>
      <c r="K222" s="142" t="str">
        <f t="shared" si="22"/>
        <v/>
      </c>
      <c r="L222" s="142" t="str">
        <f t="shared" si="23"/>
        <v/>
      </c>
    </row>
    <row r="223" spans="1:12">
      <c r="A223" s="140" t="str">
        <f>IF(E223="","",VLOOKUP('Opći dio'!$C$3,'Opći dio'!$L$6:$U$136,10,FALSE))</f>
        <v/>
      </c>
      <c r="B223" s="140" t="str">
        <f>IF(E223="","",VLOOKUP('Opći dio'!$C$3,'Opći dio'!$L$6:$U$136,9,FALSE))</f>
        <v/>
      </c>
      <c r="C223" s="200" t="str">
        <f t="shared" si="19"/>
        <v/>
      </c>
      <c r="D223" s="139" t="str">
        <f t="shared" si="20"/>
        <v/>
      </c>
      <c r="E223" s="151"/>
      <c r="F223" s="204" t="str">
        <f t="shared" si="21"/>
        <v/>
      </c>
      <c r="G223" s="196"/>
      <c r="H223" s="196"/>
      <c r="I223" s="196"/>
      <c r="K223" s="142" t="str">
        <f t="shared" si="22"/>
        <v/>
      </c>
      <c r="L223" s="142" t="str">
        <f t="shared" si="23"/>
        <v/>
      </c>
    </row>
    <row r="224" spans="1:12">
      <c r="A224" s="140" t="str">
        <f>IF(E224="","",VLOOKUP('Opći dio'!$C$3,'Opći dio'!$L$6:$U$136,10,FALSE))</f>
        <v/>
      </c>
      <c r="B224" s="140" t="str">
        <f>IF(E224="","",VLOOKUP('Opći dio'!$C$3,'Opći dio'!$L$6:$U$136,9,FALSE))</f>
        <v/>
      </c>
      <c r="C224" s="200" t="str">
        <f t="shared" si="19"/>
        <v/>
      </c>
      <c r="D224" s="139" t="str">
        <f t="shared" si="20"/>
        <v/>
      </c>
      <c r="E224" s="151"/>
      <c r="F224" s="204" t="str">
        <f t="shared" si="21"/>
        <v/>
      </c>
      <c r="G224" s="196"/>
      <c r="H224" s="196"/>
      <c r="I224" s="196"/>
      <c r="K224" s="142" t="str">
        <f t="shared" si="22"/>
        <v/>
      </c>
      <c r="L224" s="142" t="str">
        <f t="shared" si="23"/>
        <v/>
      </c>
    </row>
    <row r="225" spans="1:12">
      <c r="A225" s="140" t="str">
        <f>IF(E225="","",VLOOKUP('Opći dio'!$C$3,'Opći dio'!$L$6:$U$136,10,FALSE))</f>
        <v/>
      </c>
      <c r="B225" s="140" t="str">
        <f>IF(E225="","",VLOOKUP('Opći dio'!$C$3,'Opći dio'!$L$6:$U$136,9,FALSE))</f>
        <v/>
      </c>
      <c r="C225" s="200" t="str">
        <f t="shared" si="19"/>
        <v/>
      </c>
      <c r="D225" s="139" t="str">
        <f t="shared" si="20"/>
        <v/>
      </c>
      <c r="E225" s="151"/>
      <c r="F225" s="204" t="str">
        <f t="shared" si="21"/>
        <v/>
      </c>
      <c r="G225" s="196"/>
      <c r="H225" s="196"/>
      <c r="I225" s="196"/>
      <c r="K225" s="142" t="str">
        <f t="shared" si="22"/>
        <v/>
      </c>
      <c r="L225" s="142" t="str">
        <f t="shared" si="23"/>
        <v/>
      </c>
    </row>
    <row r="226" spans="1:12">
      <c r="A226" s="140" t="str">
        <f>IF(E226="","",VLOOKUP('Opći dio'!$C$3,'Opći dio'!$L$6:$U$136,10,FALSE))</f>
        <v/>
      </c>
      <c r="B226" s="140" t="str">
        <f>IF(E226="","",VLOOKUP('Opći dio'!$C$3,'Opći dio'!$L$6:$U$136,9,FALSE))</f>
        <v/>
      </c>
      <c r="C226" s="200" t="str">
        <f t="shared" si="19"/>
        <v/>
      </c>
      <c r="D226" s="139" t="str">
        <f t="shared" si="20"/>
        <v/>
      </c>
      <c r="E226" s="151"/>
      <c r="F226" s="204" t="str">
        <f t="shared" si="21"/>
        <v/>
      </c>
      <c r="G226" s="196"/>
      <c r="H226" s="196"/>
      <c r="I226" s="196"/>
      <c r="K226" s="142" t="str">
        <f t="shared" si="22"/>
        <v/>
      </c>
      <c r="L226" s="142" t="str">
        <f t="shared" si="23"/>
        <v/>
      </c>
    </row>
    <row r="227" spans="1:12">
      <c r="A227" s="140" t="str">
        <f>IF(E227="","",VLOOKUP('Opći dio'!$C$3,'Opći dio'!$L$6:$U$136,10,FALSE))</f>
        <v/>
      </c>
      <c r="B227" s="140" t="str">
        <f>IF(E227="","",VLOOKUP('Opći dio'!$C$3,'Opći dio'!$L$6:$U$136,9,FALSE))</f>
        <v/>
      </c>
      <c r="C227" s="200" t="str">
        <f t="shared" si="19"/>
        <v/>
      </c>
      <c r="D227" s="139" t="str">
        <f t="shared" si="20"/>
        <v/>
      </c>
      <c r="E227" s="151"/>
      <c r="F227" s="204" t="str">
        <f t="shared" si="21"/>
        <v/>
      </c>
      <c r="G227" s="196"/>
      <c r="H227" s="196"/>
      <c r="I227" s="196"/>
      <c r="K227" s="142" t="str">
        <f t="shared" si="22"/>
        <v/>
      </c>
      <c r="L227" s="142" t="str">
        <f t="shared" si="23"/>
        <v/>
      </c>
    </row>
    <row r="228" spans="1:12">
      <c r="A228" s="140" t="str">
        <f>IF(E228="","",VLOOKUP('Opći dio'!$C$3,'Opći dio'!$L$6:$U$136,10,FALSE))</f>
        <v/>
      </c>
      <c r="B228" s="140" t="str">
        <f>IF(E228="","",VLOOKUP('Opći dio'!$C$3,'Opći dio'!$L$6:$U$136,9,FALSE))</f>
        <v/>
      </c>
      <c r="C228" s="200" t="str">
        <f t="shared" si="19"/>
        <v/>
      </c>
      <c r="D228" s="139" t="str">
        <f t="shared" si="20"/>
        <v/>
      </c>
      <c r="E228" s="151"/>
      <c r="F228" s="204" t="str">
        <f t="shared" si="21"/>
        <v/>
      </c>
      <c r="G228" s="196"/>
      <c r="H228" s="196"/>
      <c r="I228" s="196"/>
      <c r="K228" s="142" t="str">
        <f t="shared" si="22"/>
        <v/>
      </c>
      <c r="L228" s="142" t="str">
        <f t="shared" si="23"/>
        <v/>
      </c>
    </row>
    <row r="229" spans="1:12">
      <c r="A229" s="140" t="str">
        <f>IF(E229="","",VLOOKUP('Opći dio'!$C$3,'Opći dio'!$L$6:$U$136,10,FALSE))</f>
        <v/>
      </c>
      <c r="B229" s="140" t="str">
        <f>IF(E229="","",VLOOKUP('Opći dio'!$C$3,'Opći dio'!$L$6:$U$136,9,FALSE))</f>
        <v/>
      </c>
      <c r="C229" s="200" t="str">
        <f t="shared" si="19"/>
        <v/>
      </c>
      <c r="D229" s="139" t="str">
        <f t="shared" si="20"/>
        <v/>
      </c>
      <c r="E229" s="151"/>
      <c r="F229" s="204" t="str">
        <f t="shared" si="21"/>
        <v/>
      </c>
      <c r="G229" s="196"/>
      <c r="H229" s="196"/>
      <c r="I229" s="196"/>
      <c r="K229" s="142" t="str">
        <f t="shared" si="22"/>
        <v/>
      </c>
      <c r="L229" s="142" t="str">
        <f t="shared" si="23"/>
        <v/>
      </c>
    </row>
    <row r="230" spans="1:12">
      <c r="A230" s="140" t="str">
        <f>IF(E230="","",VLOOKUP('Opći dio'!$C$3,'Opći dio'!$L$6:$U$136,10,FALSE))</f>
        <v/>
      </c>
      <c r="B230" s="140" t="str">
        <f>IF(E230="","",VLOOKUP('Opći dio'!$C$3,'Opći dio'!$L$6:$U$136,9,FALSE))</f>
        <v/>
      </c>
      <c r="C230" s="200" t="str">
        <f t="shared" si="19"/>
        <v/>
      </c>
      <c r="D230" s="139" t="str">
        <f t="shared" si="20"/>
        <v/>
      </c>
      <c r="E230" s="151"/>
      <c r="F230" s="204" t="str">
        <f t="shared" si="21"/>
        <v/>
      </c>
      <c r="G230" s="196"/>
      <c r="H230" s="196"/>
      <c r="I230" s="196"/>
      <c r="K230" s="142" t="str">
        <f t="shared" si="22"/>
        <v/>
      </c>
      <c r="L230" s="142" t="str">
        <f t="shared" si="23"/>
        <v/>
      </c>
    </row>
    <row r="231" spans="1:12">
      <c r="A231" s="140" t="str">
        <f>IF(E231="","",VLOOKUP('Opći dio'!$C$3,'Opći dio'!$L$6:$U$136,10,FALSE))</f>
        <v/>
      </c>
      <c r="B231" s="140" t="str">
        <f>IF(E231="","",VLOOKUP('Opći dio'!$C$3,'Opći dio'!$L$6:$U$136,9,FALSE))</f>
        <v/>
      </c>
      <c r="C231" s="200" t="str">
        <f t="shared" si="19"/>
        <v/>
      </c>
      <c r="D231" s="139" t="str">
        <f t="shared" si="20"/>
        <v/>
      </c>
      <c r="E231" s="151"/>
      <c r="F231" s="204" t="str">
        <f t="shared" si="21"/>
        <v/>
      </c>
      <c r="G231" s="196"/>
      <c r="H231" s="196"/>
      <c r="I231" s="196"/>
      <c r="K231" s="142" t="str">
        <f t="shared" si="22"/>
        <v/>
      </c>
      <c r="L231" s="142" t="str">
        <f t="shared" si="23"/>
        <v/>
      </c>
    </row>
    <row r="232" spans="1:12">
      <c r="A232" s="140" t="str">
        <f>IF(E232="","",VLOOKUP('Opći dio'!$C$3,'Opći dio'!$L$6:$U$136,10,FALSE))</f>
        <v/>
      </c>
      <c r="B232" s="140" t="str">
        <f>IF(E232="","",VLOOKUP('Opći dio'!$C$3,'Opći dio'!$L$6:$U$136,9,FALSE))</f>
        <v/>
      </c>
      <c r="C232" s="200" t="str">
        <f t="shared" si="19"/>
        <v/>
      </c>
      <c r="D232" s="139" t="str">
        <f t="shared" si="20"/>
        <v/>
      </c>
      <c r="E232" s="151"/>
      <c r="F232" s="204" t="str">
        <f t="shared" si="21"/>
        <v/>
      </c>
      <c r="G232" s="196"/>
      <c r="H232" s="196"/>
      <c r="I232" s="196"/>
      <c r="K232" s="142" t="str">
        <f t="shared" si="22"/>
        <v/>
      </c>
      <c r="L232" s="142" t="str">
        <f t="shared" si="23"/>
        <v/>
      </c>
    </row>
    <row r="233" spans="1:12">
      <c r="A233" s="140" t="str">
        <f>IF(E233="","",VLOOKUP('Opći dio'!$C$3,'Opći dio'!$L$6:$U$136,10,FALSE))</f>
        <v/>
      </c>
      <c r="B233" s="140" t="str">
        <f>IF(E233="","",VLOOKUP('Opći dio'!$C$3,'Opći dio'!$L$6:$U$136,9,FALSE))</f>
        <v/>
      </c>
      <c r="C233" s="200" t="str">
        <f t="shared" si="19"/>
        <v/>
      </c>
      <c r="D233" s="139" t="str">
        <f t="shared" si="20"/>
        <v/>
      </c>
      <c r="E233" s="151"/>
      <c r="F233" s="204" t="str">
        <f t="shared" si="21"/>
        <v/>
      </c>
      <c r="G233" s="196"/>
      <c r="H233" s="196"/>
      <c r="I233" s="196"/>
      <c r="K233" s="142" t="str">
        <f t="shared" si="22"/>
        <v/>
      </c>
      <c r="L233" s="142" t="str">
        <f t="shared" si="23"/>
        <v/>
      </c>
    </row>
    <row r="234" spans="1:12">
      <c r="A234" s="140" t="str">
        <f>IF(E234="","",VLOOKUP('Opći dio'!$C$3,'Opći dio'!$L$6:$U$136,10,FALSE))</f>
        <v/>
      </c>
      <c r="B234" s="140" t="str">
        <f>IF(E234="","",VLOOKUP('Opći dio'!$C$3,'Opći dio'!$L$6:$U$136,9,FALSE))</f>
        <v/>
      </c>
      <c r="C234" s="200" t="str">
        <f t="shared" si="19"/>
        <v/>
      </c>
      <c r="D234" s="139" t="str">
        <f t="shared" si="20"/>
        <v/>
      </c>
      <c r="E234" s="151"/>
      <c r="F234" s="204" t="str">
        <f t="shared" si="21"/>
        <v/>
      </c>
      <c r="G234" s="196"/>
      <c r="H234" s="196"/>
      <c r="I234" s="196"/>
      <c r="K234" s="142" t="str">
        <f t="shared" si="22"/>
        <v/>
      </c>
      <c r="L234" s="142" t="str">
        <f t="shared" si="23"/>
        <v/>
      </c>
    </row>
    <row r="235" spans="1:12">
      <c r="A235" s="140" t="str">
        <f>IF(E235="","",VLOOKUP('Opći dio'!$C$3,'Opći dio'!$L$6:$U$136,10,FALSE))</f>
        <v/>
      </c>
      <c r="B235" s="140" t="str">
        <f>IF(E235="","",VLOOKUP('Opći dio'!$C$3,'Opći dio'!$L$6:$U$136,9,FALSE))</f>
        <v/>
      </c>
      <c r="C235" s="200" t="str">
        <f t="shared" si="19"/>
        <v/>
      </c>
      <c r="D235" s="139" t="str">
        <f t="shared" si="20"/>
        <v/>
      </c>
      <c r="E235" s="151"/>
      <c r="F235" s="204" t="str">
        <f t="shared" si="21"/>
        <v/>
      </c>
      <c r="G235" s="196"/>
      <c r="H235" s="196"/>
      <c r="I235" s="196"/>
      <c r="K235" s="142" t="str">
        <f t="shared" si="22"/>
        <v/>
      </c>
      <c r="L235" s="142" t="str">
        <f t="shared" si="23"/>
        <v/>
      </c>
    </row>
    <row r="236" spans="1:12">
      <c r="A236" s="140" t="str">
        <f>IF(E236="","",VLOOKUP('Opći dio'!$C$3,'Opći dio'!$L$6:$U$136,10,FALSE))</f>
        <v/>
      </c>
      <c r="B236" s="140" t="str">
        <f>IF(E236="","",VLOOKUP('Opći dio'!$C$3,'Opći dio'!$L$6:$U$136,9,FALSE))</f>
        <v/>
      </c>
      <c r="C236" s="200" t="str">
        <f t="shared" si="19"/>
        <v/>
      </c>
      <c r="D236" s="139" t="str">
        <f t="shared" si="20"/>
        <v/>
      </c>
      <c r="E236" s="151"/>
      <c r="F236" s="204" t="str">
        <f t="shared" si="21"/>
        <v/>
      </c>
      <c r="G236" s="196"/>
      <c r="H236" s="196"/>
      <c r="I236" s="196"/>
      <c r="K236" s="142" t="str">
        <f t="shared" si="22"/>
        <v/>
      </c>
      <c r="L236" s="142" t="str">
        <f t="shared" si="23"/>
        <v/>
      </c>
    </row>
    <row r="237" spans="1:12">
      <c r="A237" s="140" t="str">
        <f>IF(E237="","",VLOOKUP('Opći dio'!$C$3,'Opći dio'!$L$6:$U$136,10,FALSE))</f>
        <v/>
      </c>
      <c r="B237" s="140" t="str">
        <f>IF(E237="","",VLOOKUP('Opći dio'!$C$3,'Opći dio'!$L$6:$U$136,9,FALSE))</f>
        <v/>
      </c>
      <c r="C237" s="200" t="str">
        <f t="shared" si="19"/>
        <v/>
      </c>
      <c r="D237" s="139" t="str">
        <f t="shared" si="20"/>
        <v/>
      </c>
      <c r="E237" s="151"/>
      <c r="F237" s="204" t="str">
        <f t="shared" si="21"/>
        <v/>
      </c>
      <c r="G237" s="196"/>
      <c r="H237" s="196"/>
      <c r="I237" s="196"/>
      <c r="K237" s="142" t="str">
        <f t="shared" si="22"/>
        <v/>
      </c>
      <c r="L237" s="142" t="str">
        <f t="shared" si="23"/>
        <v/>
      </c>
    </row>
    <row r="238" spans="1:12">
      <c r="A238" s="140" t="str">
        <f>IF(E238="","",VLOOKUP('Opći dio'!$C$3,'Opći dio'!$L$6:$U$136,10,FALSE))</f>
        <v/>
      </c>
      <c r="B238" s="140" t="str">
        <f>IF(E238="","",VLOOKUP('Opći dio'!$C$3,'Opći dio'!$L$6:$U$136,9,FALSE))</f>
        <v/>
      </c>
      <c r="C238" s="200" t="str">
        <f t="shared" si="19"/>
        <v/>
      </c>
      <c r="D238" s="139" t="str">
        <f t="shared" si="20"/>
        <v/>
      </c>
      <c r="E238" s="151"/>
      <c r="F238" s="204" t="str">
        <f t="shared" si="21"/>
        <v/>
      </c>
      <c r="G238" s="196"/>
      <c r="H238" s="196"/>
      <c r="I238" s="196"/>
      <c r="K238" s="142" t="str">
        <f t="shared" si="22"/>
        <v/>
      </c>
      <c r="L238" s="142" t="str">
        <f t="shared" si="23"/>
        <v/>
      </c>
    </row>
    <row r="239" spans="1:12">
      <c r="A239" s="140" t="str">
        <f>IF(E239="","",VLOOKUP('Opći dio'!$C$3,'Opći dio'!$L$6:$U$136,10,FALSE))</f>
        <v/>
      </c>
      <c r="B239" s="140" t="str">
        <f>IF(E239="","",VLOOKUP('Opći dio'!$C$3,'Opći dio'!$L$6:$U$136,9,FALSE))</f>
        <v/>
      </c>
      <c r="C239" s="200" t="str">
        <f t="shared" si="19"/>
        <v/>
      </c>
      <c r="D239" s="139" t="str">
        <f t="shared" si="20"/>
        <v/>
      </c>
      <c r="E239" s="151"/>
      <c r="F239" s="204" t="str">
        <f t="shared" si="21"/>
        <v/>
      </c>
      <c r="G239" s="196"/>
      <c r="H239" s="196"/>
      <c r="I239" s="196"/>
      <c r="K239" s="142" t="str">
        <f t="shared" si="22"/>
        <v/>
      </c>
      <c r="L239" s="142" t="str">
        <f t="shared" si="23"/>
        <v/>
      </c>
    </row>
    <row r="240" spans="1:12">
      <c r="A240" s="140" t="str">
        <f>IF(E240="","",VLOOKUP('Opći dio'!$C$3,'Opći dio'!$L$6:$U$136,10,FALSE))</f>
        <v/>
      </c>
      <c r="B240" s="140" t="str">
        <f>IF(E240="","",VLOOKUP('Opći dio'!$C$3,'Opći dio'!$L$6:$U$136,9,FALSE))</f>
        <v/>
      </c>
      <c r="C240" s="200" t="str">
        <f t="shared" si="19"/>
        <v/>
      </c>
      <c r="D240" s="139" t="str">
        <f t="shared" si="20"/>
        <v/>
      </c>
      <c r="E240" s="151"/>
      <c r="F240" s="204" t="str">
        <f t="shared" si="21"/>
        <v/>
      </c>
      <c r="G240" s="196"/>
      <c r="H240" s="196"/>
      <c r="I240" s="196"/>
      <c r="K240" s="142" t="str">
        <f t="shared" si="22"/>
        <v/>
      </c>
      <c r="L240" s="142" t="str">
        <f t="shared" si="23"/>
        <v/>
      </c>
    </row>
    <row r="241" spans="1:12">
      <c r="A241" s="140" t="str">
        <f>IF(E241="","",VLOOKUP('Opći dio'!$C$3,'Opći dio'!$L$6:$U$136,10,FALSE))</f>
        <v/>
      </c>
      <c r="B241" s="140" t="str">
        <f>IF(E241="","",VLOOKUP('Opći dio'!$C$3,'Opći dio'!$L$6:$U$136,9,FALSE))</f>
        <v/>
      </c>
      <c r="C241" s="200" t="str">
        <f t="shared" si="19"/>
        <v/>
      </c>
      <c r="D241" s="139" t="str">
        <f t="shared" si="20"/>
        <v/>
      </c>
      <c r="E241" s="151"/>
      <c r="F241" s="204" t="str">
        <f t="shared" si="21"/>
        <v/>
      </c>
      <c r="G241" s="196"/>
      <c r="H241" s="196"/>
      <c r="I241" s="196"/>
      <c r="K241" s="142" t="str">
        <f t="shared" si="22"/>
        <v/>
      </c>
      <c r="L241" s="142" t="str">
        <f t="shared" si="23"/>
        <v/>
      </c>
    </row>
    <row r="242" spans="1:12">
      <c r="A242" s="140" t="str">
        <f>IF(E242="","",VLOOKUP('Opći dio'!$C$3,'Opći dio'!$L$6:$U$136,10,FALSE))</f>
        <v/>
      </c>
      <c r="B242" s="140" t="str">
        <f>IF(E242="","",VLOOKUP('Opći dio'!$C$3,'Opći dio'!$L$6:$U$136,9,FALSE))</f>
        <v/>
      </c>
      <c r="C242" s="200" t="str">
        <f t="shared" si="19"/>
        <v/>
      </c>
      <c r="D242" s="139" t="str">
        <f t="shared" si="20"/>
        <v/>
      </c>
      <c r="E242" s="151"/>
      <c r="F242" s="204" t="str">
        <f t="shared" si="21"/>
        <v/>
      </c>
      <c r="G242" s="196"/>
      <c r="H242" s="196"/>
      <c r="I242" s="196"/>
      <c r="K242" s="142" t="str">
        <f t="shared" si="22"/>
        <v/>
      </c>
      <c r="L242" s="142" t="str">
        <f t="shared" si="23"/>
        <v/>
      </c>
    </row>
    <row r="243" spans="1:12">
      <c r="A243" s="140" t="str">
        <f>IF(E243="","",VLOOKUP('Opći dio'!$C$3,'Opći dio'!$L$6:$U$136,10,FALSE))</f>
        <v/>
      </c>
      <c r="B243" s="140" t="str">
        <f>IF(E243="","",VLOOKUP('Opći dio'!$C$3,'Opći dio'!$L$6:$U$136,9,FALSE))</f>
        <v/>
      </c>
      <c r="C243" s="200" t="str">
        <f t="shared" si="19"/>
        <v/>
      </c>
      <c r="D243" s="139" t="str">
        <f t="shared" si="20"/>
        <v/>
      </c>
      <c r="E243" s="151"/>
      <c r="F243" s="204" t="str">
        <f t="shared" si="21"/>
        <v/>
      </c>
      <c r="G243" s="196"/>
      <c r="H243" s="196"/>
      <c r="I243" s="196"/>
      <c r="K243" s="142" t="str">
        <f t="shared" si="22"/>
        <v/>
      </c>
      <c r="L243" s="142" t="str">
        <f t="shared" si="23"/>
        <v/>
      </c>
    </row>
    <row r="244" spans="1:12">
      <c r="A244" s="140" t="str">
        <f>IF(E244="","",VLOOKUP('Opći dio'!$C$3,'Opći dio'!$L$6:$U$136,10,FALSE))</f>
        <v/>
      </c>
      <c r="B244" s="140" t="str">
        <f>IF(E244="","",VLOOKUP('Opći dio'!$C$3,'Opći dio'!$L$6:$U$136,9,FALSE))</f>
        <v/>
      </c>
      <c r="C244" s="200" t="str">
        <f t="shared" si="19"/>
        <v/>
      </c>
      <c r="D244" s="139" t="str">
        <f t="shared" si="20"/>
        <v/>
      </c>
      <c r="E244" s="151"/>
      <c r="F244" s="204" t="str">
        <f t="shared" si="21"/>
        <v/>
      </c>
      <c r="G244" s="196"/>
      <c r="H244" s="196"/>
      <c r="I244" s="196"/>
      <c r="K244" s="142" t="str">
        <f t="shared" si="22"/>
        <v/>
      </c>
      <c r="L244" s="142" t="str">
        <f t="shared" si="23"/>
        <v/>
      </c>
    </row>
    <row r="245" spans="1:12">
      <c r="A245" s="140" t="str">
        <f>IF(E245="","",VLOOKUP('Opći dio'!$C$3,'Opći dio'!$L$6:$U$136,10,FALSE))</f>
        <v/>
      </c>
      <c r="B245" s="140" t="str">
        <f>IF(E245="","",VLOOKUP('Opći dio'!$C$3,'Opći dio'!$L$6:$U$136,9,FALSE))</f>
        <v/>
      </c>
      <c r="C245" s="200" t="str">
        <f t="shared" si="19"/>
        <v/>
      </c>
      <c r="D245" s="139" t="str">
        <f t="shared" si="20"/>
        <v/>
      </c>
      <c r="E245" s="151"/>
      <c r="F245" s="204" t="str">
        <f t="shared" si="21"/>
        <v/>
      </c>
      <c r="G245" s="196"/>
      <c r="H245" s="196"/>
      <c r="I245" s="196"/>
      <c r="K245" s="142" t="str">
        <f t="shared" si="22"/>
        <v/>
      </c>
      <c r="L245" s="142" t="str">
        <f t="shared" si="23"/>
        <v/>
      </c>
    </row>
    <row r="246" spans="1:12">
      <c r="A246" s="140" t="str">
        <f>IF(E246="","",VLOOKUP('Opći dio'!$C$3,'Opći dio'!$L$6:$U$136,10,FALSE))</f>
        <v/>
      </c>
      <c r="B246" s="140" t="str">
        <f>IF(E246="","",VLOOKUP('Opći dio'!$C$3,'Opći dio'!$L$6:$U$136,9,FALSE))</f>
        <v/>
      </c>
      <c r="C246" s="200" t="str">
        <f t="shared" si="19"/>
        <v/>
      </c>
      <c r="D246" s="139" t="str">
        <f t="shared" si="20"/>
        <v/>
      </c>
      <c r="E246" s="151"/>
      <c r="F246" s="204" t="str">
        <f t="shared" si="21"/>
        <v/>
      </c>
      <c r="G246" s="196"/>
      <c r="H246" s="196"/>
      <c r="I246" s="196"/>
      <c r="K246" s="142" t="str">
        <f t="shared" si="22"/>
        <v/>
      </c>
      <c r="L246" s="142" t="str">
        <f t="shared" si="23"/>
        <v/>
      </c>
    </row>
    <row r="247" spans="1:12">
      <c r="A247" s="140" t="str">
        <f>IF(E247="","",VLOOKUP('Opći dio'!$C$3,'Opći dio'!$L$6:$U$136,10,FALSE))</f>
        <v/>
      </c>
      <c r="B247" s="140" t="str">
        <f>IF(E247="","",VLOOKUP('Opći dio'!$C$3,'Opći dio'!$L$6:$U$136,9,FALSE))</f>
        <v/>
      </c>
      <c r="C247" s="200" t="str">
        <f t="shared" si="19"/>
        <v/>
      </c>
      <c r="D247" s="139" t="str">
        <f t="shared" si="20"/>
        <v/>
      </c>
      <c r="E247" s="151"/>
      <c r="F247" s="204" t="str">
        <f t="shared" si="21"/>
        <v/>
      </c>
      <c r="G247" s="196"/>
      <c r="H247" s="196"/>
      <c r="I247" s="196"/>
      <c r="K247" s="142" t="str">
        <f t="shared" si="22"/>
        <v/>
      </c>
      <c r="L247" s="142" t="str">
        <f t="shared" si="23"/>
        <v/>
      </c>
    </row>
    <row r="248" spans="1:12">
      <c r="A248" s="140" t="str">
        <f>IF(E248="","",VLOOKUP('Opći dio'!$C$3,'Opći dio'!$L$6:$U$136,10,FALSE))</f>
        <v/>
      </c>
      <c r="B248" s="140" t="str">
        <f>IF(E248="","",VLOOKUP('Opći dio'!$C$3,'Opći dio'!$L$6:$U$136,9,FALSE))</f>
        <v/>
      </c>
      <c r="C248" s="200" t="str">
        <f t="shared" si="19"/>
        <v/>
      </c>
      <c r="D248" s="139" t="str">
        <f t="shared" si="20"/>
        <v/>
      </c>
      <c r="E248" s="151"/>
      <c r="F248" s="204" t="str">
        <f t="shared" si="21"/>
        <v/>
      </c>
      <c r="G248" s="196"/>
      <c r="H248" s="196"/>
      <c r="I248" s="196"/>
      <c r="K248" s="142" t="str">
        <f t="shared" si="22"/>
        <v/>
      </c>
      <c r="L248" s="142" t="str">
        <f t="shared" si="23"/>
        <v/>
      </c>
    </row>
    <row r="249" spans="1:12">
      <c r="A249" s="140" t="str">
        <f>IF(E249="","",VLOOKUP('Opći dio'!$C$3,'Opći dio'!$L$6:$U$136,10,FALSE))</f>
        <v/>
      </c>
      <c r="B249" s="140" t="str">
        <f>IF(E249="","",VLOOKUP('Opći dio'!$C$3,'Opći dio'!$L$6:$U$136,9,FALSE))</f>
        <v/>
      </c>
      <c r="C249" s="200" t="str">
        <f t="shared" si="19"/>
        <v/>
      </c>
      <c r="D249" s="139" t="str">
        <f t="shared" si="20"/>
        <v/>
      </c>
      <c r="E249" s="151"/>
      <c r="F249" s="204" t="str">
        <f t="shared" si="21"/>
        <v/>
      </c>
      <c r="G249" s="196"/>
      <c r="H249" s="196"/>
      <c r="I249" s="196"/>
      <c r="K249" s="142" t="str">
        <f t="shared" si="22"/>
        <v/>
      </c>
      <c r="L249" s="142" t="str">
        <f t="shared" si="23"/>
        <v/>
      </c>
    </row>
    <row r="250" spans="1:12">
      <c r="A250" s="140" t="str">
        <f>IF(E250="","",VLOOKUP('Opći dio'!$C$3,'Opći dio'!$L$6:$U$136,10,FALSE))</f>
        <v/>
      </c>
      <c r="B250" s="140" t="str">
        <f>IF(E250="","",VLOOKUP('Opći dio'!$C$3,'Opći dio'!$L$6:$U$136,9,FALSE))</f>
        <v/>
      </c>
      <c r="C250" s="200" t="str">
        <f t="shared" si="19"/>
        <v/>
      </c>
      <c r="D250" s="139" t="str">
        <f t="shared" si="20"/>
        <v/>
      </c>
      <c r="E250" s="151"/>
      <c r="F250" s="204" t="str">
        <f t="shared" si="21"/>
        <v/>
      </c>
      <c r="G250" s="196"/>
      <c r="H250" s="196"/>
      <c r="I250" s="196"/>
      <c r="K250" s="142" t="str">
        <f t="shared" si="22"/>
        <v/>
      </c>
      <c r="L250" s="142" t="str">
        <f t="shared" si="23"/>
        <v/>
      </c>
    </row>
    <row r="251" spans="1:12">
      <c r="A251" s="140" t="str">
        <f>IF(E251="","",VLOOKUP('Opći dio'!$C$3,'Opći dio'!$L$6:$U$136,10,FALSE))</f>
        <v/>
      </c>
      <c r="B251" s="140" t="str">
        <f>IF(E251="","",VLOOKUP('Opći dio'!$C$3,'Opći dio'!$L$6:$U$136,9,FALSE))</f>
        <v/>
      </c>
      <c r="C251" s="200" t="str">
        <f t="shared" si="19"/>
        <v/>
      </c>
      <c r="D251" s="139" t="str">
        <f t="shared" si="20"/>
        <v/>
      </c>
      <c r="E251" s="151"/>
      <c r="F251" s="204" t="str">
        <f t="shared" si="21"/>
        <v/>
      </c>
      <c r="G251" s="196"/>
      <c r="H251" s="196"/>
      <c r="I251" s="196"/>
      <c r="K251" s="142" t="str">
        <f t="shared" si="22"/>
        <v/>
      </c>
      <c r="L251" s="142" t="str">
        <f t="shared" si="23"/>
        <v/>
      </c>
    </row>
    <row r="252" spans="1:12">
      <c r="A252" s="140" t="str">
        <f>IF(E252="","",VLOOKUP('Opći dio'!$C$3,'Opći dio'!$L$6:$U$136,10,FALSE))</f>
        <v/>
      </c>
      <c r="B252" s="140" t="str">
        <f>IF(E252="","",VLOOKUP('Opći dio'!$C$3,'Opći dio'!$L$6:$U$136,9,FALSE))</f>
        <v/>
      </c>
      <c r="C252" s="200" t="str">
        <f t="shared" si="19"/>
        <v/>
      </c>
      <c r="D252" s="139" t="str">
        <f t="shared" si="20"/>
        <v/>
      </c>
      <c r="E252" s="151"/>
      <c r="F252" s="204" t="str">
        <f t="shared" si="21"/>
        <v/>
      </c>
      <c r="G252" s="196"/>
      <c r="H252" s="196"/>
      <c r="I252" s="196"/>
      <c r="K252" s="142" t="str">
        <f t="shared" si="22"/>
        <v/>
      </c>
      <c r="L252" s="142" t="str">
        <f t="shared" si="23"/>
        <v/>
      </c>
    </row>
    <row r="253" spans="1:12">
      <c r="A253" s="140" t="str">
        <f>IF(E253="","",VLOOKUP('Opći dio'!$C$3,'Opći dio'!$L$6:$U$136,10,FALSE))</f>
        <v/>
      </c>
      <c r="B253" s="140" t="str">
        <f>IF(E253="","",VLOOKUP('Opći dio'!$C$3,'Opći dio'!$L$6:$U$136,9,FALSE))</f>
        <v/>
      </c>
      <c r="C253" s="200" t="str">
        <f t="shared" si="19"/>
        <v/>
      </c>
      <c r="D253" s="139" t="str">
        <f t="shared" si="20"/>
        <v/>
      </c>
      <c r="E253" s="151"/>
      <c r="F253" s="204" t="str">
        <f t="shared" si="21"/>
        <v/>
      </c>
      <c r="G253" s="196"/>
      <c r="H253" s="196"/>
      <c r="I253" s="196"/>
      <c r="K253" s="142" t="str">
        <f t="shared" si="22"/>
        <v/>
      </c>
      <c r="L253" s="142" t="str">
        <f t="shared" si="23"/>
        <v/>
      </c>
    </row>
    <row r="254" spans="1:12">
      <c r="A254" s="140" t="str">
        <f>IF(E254="","",VLOOKUP('Opći dio'!$C$3,'Opći dio'!$L$6:$U$136,10,FALSE))</f>
        <v/>
      </c>
      <c r="B254" s="140" t="str">
        <f>IF(E254="","",VLOOKUP('Opći dio'!$C$3,'Opći dio'!$L$6:$U$136,9,FALSE))</f>
        <v/>
      </c>
      <c r="C254" s="200" t="str">
        <f t="shared" si="19"/>
        <v/>
      </c>
      <c r="D254" s="139" t="str">
        <f t="shared" si="20"/>
        <v/>
      </c>
      <c r="E254" s="151"/>
      <c r="F254" s="204" t="str">
        <f t="shared" si="21"/>
        <v/>
      </c>
      <c r="G254" s="196"/>
      <c r="H254" s="196"/>
      <c r="I254" s="196"/>
      <c r="K254" s="142" t="str">
        <f t="shared" si="22"/>
        <v/>
      </c>
      <c r="L254" s="142" t="str">
        <f t="shared" si="23"/>
        <v/>
      </c>
    </row>
    <row r="255" spans="1:12">
      <c r="A255" s="140" t="str">
        <f>IF(E255="","",VLOOKUP('Opći dio'!$C$3,'Opći dio'!$L$6:$U$136,10,FALSE))</f>
        <v/>
      </c>
      <c r="B255" s="140" t="str">
        <f>IF(E255="","",VLOOKUP('Opći dio'!$C$3,'Opći dio'!$L$6:$U$136,9,FALSE))</f>
        <v/>
      </c>
      <c r="C255" s="200" t="str">
        <f t="shared" si="19"/>
        <v/>
      </c>
      <c r="D255" s="139" t="str">
        <f t="shared" si="20"/>
        <v/>
      </c>
      <c r="E255" s="151"/>
      <c r="F255" s="204" t="str">
        <f t="shared" si="21"/>
        <v/>
      </c>
      <c r="G255" s="196"/>
      <c r="H255" s="196"/>
      <c r="I255" s="196"/>
      <c r="K255" s="142" t="str">
        <f t="shared" si="22"/>
        <v/>
      </c>
      <c r="L255" s="142" t="str">
        <f t="shared" si="23"/>
        <v/>
      </c>
    </row>
    <row r="256" spans="1:12">
      <c r="A256" s="140" t="str">
        <f>IF(E256="","",VLOOKUP('Opći dio'!$C$3,'Opći dio'!$L$6:$U$136,10,FALSE))</f>
        <v/>
      </c>
      <c r="B256" s="140" t="str">
        <f>IF(E256="","",VLOOKUP('Opći dio'!$C$3,'Opći dio'!$L$6:$U$136,9,FALSE))</f>
        <v/>
      </c>
      <c r="C256" s="200" t="str">
        <f t="shared" si="19"/>
        <v/>
      </c>
      <c r="D256" s="139" t="str">
        <f t="shared" si="20"/>
        <v/>
      </c>
      <c r="E256" s="151"/>
      <c r="F256" s="204" t="str">
        <f t="shared" si="21"/>
        <v/>
      </c>
      <c r="G256" s="196"/>
      <c r="H256" s="196"/>
      <c r="I256" s="196"/>
      <c r="K256" s="142" t="str">
        <f t="shared" si="22"/>
        <v/>
      </c>
      <c r="L256" s="142" t="str">
        <f t="shared" si="23"/>
        <v/>
      </c>
    </row>
    <row r="257" spans="1:12">
      <c r="A257" s="140" t="str">
        <f>IF(E257="","",VLOOKUP('Opći dio'!$C$3,'Opći dio'!$L$6:$U$136,10,FALSE))</f>
        <v/>
      </c>
      <c r="B257" s="140" t="str">
        <f>IF(E257="","",VLOOKUP('Opći dio'!$C$3,'Opći dio'!$L$6:$U$136,9,FALSE))</f>
        <v/>
      </c>
      <c r="C257" s="200" t="str">
        <f t="shared" si="19"/>
        <v/>
      </c>
      <c r="D257" s="139" t="str">
        <f t="shared" si="20"/>
        <v/>
      </c>
      <c r="E257" s="151"/>
      <c r="F257" s="204" t="str">
        <f t="shared" si="21"/>
        <v/>
      </c>
      <c r="G257" s="196"/>
      <c r="H257" s="196"/>
      <c r="I257" s="196"/>
      <c r="K257" s="142" t="str">
        <f t="shared" si="22"/>
        <v/>
      </c>
      <c r="L257" s="142" t="str">
        <f t="shared" si="23"/>
        <v/>
      </c>
    </row>
    <row r="258" spans="1:12">
      <c r="A258" s="140" t="str">
        <f>IF(E258="","",VLOOKUP('Opći dio'!$C$3,'Opći dio'!$L$6:$U$136,10,FALSE))</f>
        <v/>
      </c>
      <c r="B258" s="140" t="str">
        <f>IF(E258="","",VLOOKUP('Opći dio'!$C$3,'Opći dio'!$L$6:$U$136,9,FALSE))</f>
        <v/>
      </c>
      <c r="C258" s="200" t="str">
        <f t="shared" si="19"/>
        <v/>
      </c>
      <c r="D258" s="139" t="str">
        <f t="shared" si="20"/>
        <v/>
      </c>
      <c r="E258" s="151"/>
      <c r="F258" s="204" t="str">
        <f t="shared" si="21"/>
        <v/>
      </c>
      <c r="G258" s="196"/>
      <c r="H258" s="196"/>
      <c r="I258" s="196"/>
      <c r="K258" s="142" t="str">
        <f t="shared" si="22"/>
        <v/>
      </c>
      <c r="L258" s="142" t="str">
        <f t="shared" si="23"/>
        <v/>
      </c>
    </row>
    <row r="259" spans="1:12">
      <c r="A259" s="140" t="str">
        <f>IF(E259="","",VLOOKUP('Opći dio'!$C$3,'Opći dio'!$L$6:$U$136,10,FALSE))</f>
        <v/>
      </c>
      <c r="B259" s="140" t="str">
        <f>IF(E259="","",VLOOKUP('Opći dio'!$C$3,'Opći dio'!$L$6:$U$136,9,FALSE))</f>
        <v/>
      </c>
      <c r="C259" s="200" t="str">
        <f t="shared" si="19"/>
        <v/>
      </c>
      <c r="D259" s="139" t="str">
        <f t="shared" si="20"/>
        <v/>
      </c>
      <c r="E259" s="151"/>
      <c r="F259" s="204" t="str">
        <f t="shared" si="21"/>
        <v/>
      </c>
      <c r="G259" s="196"/>
      <c r="H259" s="196"/>
      <c r="I259" s="196"/>
      <c r="K259" s="142" t="str">
        <f t="shared" si="22"/>
        <v/>
      </c>
      <c r="L259" s="142" t="str">
        <f t="shared" si="23"/>
        <v/>
      </c>
    </row>
    <row r="260" spans="1:12">
      <c r="A260" s="140" t="str">
        <f>IF(E260="","",VLOOKUP('Opći dio'!$C$3,'Opći dio'!$L$6:$U$136,10,FALSE))</f>
        <v/>
      </c>
      <c r="B260" s="140" t="str">
        <f>IF(E260="","",VLOOKUP('Opći dio'!$C$3,'Opći dio'!$L$6:$U$136,9,FALSE))</f>
        <v/>
      </c>
      <c r="C260" s="200" t="str">
        <f t="shared" ref="C260:C323" si="24">IFERROR(VLOOKUP(E260,$Q$6:$T$90,3,FALSE),"")</f>
        <v/>
      </c>
      <c r="D260" s="139" t="str">
        <f t="shared" ref="D260:D323" si="25">IFERROR(VLOOKUP(E260,$Q$6:$T$90,4,FALSE),"")</f>
        <v/>
      </c>
      <c r="E260" s="151"/>
      <c r="F260" s="204" t="str">
        <f t="shared" ref="F260:F323" si="26">IFERROR(VLOOKUP(E260,$Q$6:$T$90,2,FALSE),"")</f>
        <v/>
      </c>
      <c r="G260" s="196"/>
      <c r="H260" s="196"/>
      <c r="I260" s="196"/>
      <c r="K260" s="142" t="str">
        <f t="shared" ref="K260:K323" si="27">LEFT(E260,3)</f>
        <v/>
      </c>
      <c r="L260" s="142" t="str">
        <f t="shared" ref="L260:L323" si="28">LEFT(E260,2)</f>
        <v/>
      </c>
    </row>
    <row r="261" spans="1:12">
      <c r="A261" s="140" t="str">
        <f>IF(E261="","",VLOOKUP('Opći dio'!$C$3,'Opći dio'!$L$6:$U$136,10,FALSE))</f>
        <v/>
      </c>
      <c r="B261" s="140" t="str">
        <f>IF(E261="","",VLOOKUP('Opći dio'!$C$3,'Opći dio'!$L$6:$U$136,9,FALSE))</f>
        <v/>
      </c>
      <c r="C261" s="200" t="str">
        <f t="shared" si="24"/>
        <v/>
      </c>
      <c r="D261" s="139" t="str">
        <f t="shared" si="25"/>
        <v/>
      </c>
      <c r="E261" s="151"/>
      <c r="F261" s="204" t="str">
        <f t="shared" si="26"/>
        <v/>
      </c>
      <c r="G261" s="196"/>
      <c r="H261" s="196"/>
      <c r="I261" s="196"/>
      <c r="K261" s="142" t="str">
        <f t="shared" si="27"/>
        <v/>
      </c>
      <c r="L261" s="142" t="str">
        <f t="shared" si="28"/>
        <v/>
      </c>
    </row>
    <row r="262" spans="1:12">
      <c r="A262" s="140" t="str">
        <f>IF(E262="","",VLOOKUP('Opći dio'!$C$3,'Opći dio'!$L$6:$U$136,10,FALSE))</f>
        <v/>
      </c>
      <c r="B262" s="140" t="str">
        <f>IF(E262="","",VLOOKUP('Opći dio'!$C$3,'Opći dio'!$L$6:$U$136,9,FALSE))</f>
        <v/>
      </c>
      <c r="C262" s="200" t="str">
        <f t="shared" si="24"/>
        <v/>
      </c>
      <c r="D262" s="139" t="str">
        <f t="shared" si="25"/>
        <v/>
      </c>
      <c r="E262" s="151"/>
      <c r="F262" s="204" t="str">
        <f t="shared" si="26"/>
        <v/>
      </c>
      <c r="G262" s="196"/>
      <c r="H262" s="196"/>
      <c r="I262" s="196"/>
      <c r="K262" s="142" t="str">
        <f t="shared" si="27"/>
        <v/>
      </c>
      <c r="L262" s="142" t="str">
        <f t="shared" si="28"/>
        <v/>
      </c>
    </row>
    <row r="263" spans="1:12">
      <c r="A263" s="140" t="str">
        <f>IF(E263="","",VLOOKUP('Opći dio'!$C$3,'Opći dio'!$L$6:$U$136,10,FALSE))</f>
        <v/>
      </c>
      <c r="B263" s="140" t="str">
        <f>IF(E263="","",VLOOKUP('Opći dio'!$C$3,'Opći dio'!$L$6:$U$136,9,FALSE))</f>
        <v/>
      </c>
      <c r="C263" s="200" t="str">
        <f t="shared" si="24"/>
        <v/>
      </c>
      <c r="D263" s="139" t="str">
        <f t="shared" si="25"/>
        <v/>
      </c>
      <c r="E263" s="151"/>
      <c r="F263" s="204" t="str">
        <f t="shared" si="26"/>
        <v/>
      </c>
      <c r="G263" s="196"/>
      <c r="H263" s="196"/>
      <c r="I263" s="196"/>
      <c r="K263" s="142" t="str">
        <f t="shared" si="27"/>
        <v/>
      </c>
      <c r="L263" s="142" t="str">
        <f t="shared" si="28"/>
        <v/>
      </c>
    </row>
    <row r="264" spans="1:12">
      <c r="A264" s="140" t="str">
        <f>IF(E264="","",VLOOKUP('Opći dio'!$C$3,'Opći dio'!$L$6:$U$136,10,FALSE))</f>
        <v/>
      </c>
      <c r="B264" s="140" t="str">
        <f>IF(E264="","",VLOOKUP('Opći dio'!$C$3,'Opći dio'!$L$6:$U$136,9,FALSE))</f>
        <v/>
      </c>
      <c r="C264" s="200" t="str">
        <f t="shared" si="24"/>
        <v/>
      </c>
      <c r="D264" s="139" t="str">
        <f t="shared" si="25"/>
        <v/>
      </c>
      <c r="E264" s="151"/>
      <c r="F264" s="204" t="str">
        <f t="shared" si="26"/>
        <v/>
      </c>
      <c r="G264" s="196"/>
      <c r="H264" s="196"/>
      <c r="I264" s="196"/>
      <c r="K264" s="142" t="str">
        <f t="shared" si="27"/>
        <v/>
      </c>
      <c r="L264" s="142" t="str">
        <f t="shared" si="28"/>
        <v/>
      </c>
    </row>
    <row r="265" spans="1:12">
      <c r="A265" s="140" t="str">
        <f>IF(E265="","",VLOOKUP('Opći dio'!$C$3,'Opći dio'!$L$6:$U$136,10,FALSE))</f>
        <v/>
      </c>
      <c r="B265" s="140" t="str">
        <f>IF(E265="","",VLOOKUP('Opći dio'!$C$3,'Opći dio'!$L$6:$U$136,9,FALSE))</f>
        <v/>
      </c>
      <c r="C265" s="200" t="str">
        <f t="shared" si="24"/>
        <v/>
      </c>
      <c r="D265" s="139" t="str">
        <f t="shared" si="25"/>
        <v/>
      </c>
      <c r="E265" s="151"/>
      <c r="F265" s="204" t="str">
        <f t="shared" si="26"/>
        <v/>
      </c>
      <c r="G265" s="196"/>
      <c r="H265" s="196"/>
      <c r="I265" s="196"/>
      <c r="K265" s="142" t="str">
        <f t="shared" si="27"/>
        <v/>
      </c>
      <c r="L265" s="142" t="str">
        <f t="shared" si="28"/>
        <v/>
      </c>
    </row>
    <row r="266" spans="1:12">
      <c r="A266" s="140" t="str">
        <f>IF(E266="","",VLOOKUP('Opći dio'!$C$3,'Opći dio'!$L$6:$U$136,10,FALSE))</f>
        <v/>
      </c>
      <c r="B266" s="140" t="str">
        <f>IF(E266="","",VLOOKUP('Opći dio'!$C$3,'Opći dio'!$L$6:$U$136,9,FALSE))</f>
        <v/>
      </c>
      <c r="C266" s="200" t="str">
        <f t="shared" si="24"/>
        <v/>
      </c>
      <c r="D266" s="139" t="str">
        <f t="shared" si="25"/>
        <v/>
      </c>
      <c r="E266" s="151"/>
      <c r="F266" s="204" t="str">
        <f t="shared" si="26"/>
        <v/>
      </c>
      <c r="G266" s="196"/>
      <c r="H266" s="196"/>
      <c r="I266" s="196"/>
      <c r="K266" s="142" t="str">
        <f t="shared" si="27"/>
        <v/>
      </c>
      <c r="L266" s="142" t="str">
        <f t="shared" si="28"/>
        <v/>
      </c>
    </row>
    <row r="267" spans="1:12">
      <c r="A267" s="140" t="str">
        <f>IF(E267="","",VLOOKUP('Opći dio'!$C$3,'Opći dio'!$L$6:$U$136,10,FALSE))</f>
        <v/>
      </c>
      <c r="B267" s="140" t="str">
        <f>IF(E267="","",VLOOKUP('Opći dio'!$C$3,'Opći dio'!$L$6:$U$136,9,FALSE))</f>
        <v/>
      </c>
      <c r="C267" s="200" t="str">
        <f t="shared" si="24"/>
        <v/>
      </c>
      <c r="D267" s="139" t="str">
        <f t="shared" si="25"/>
        <v/>
      </c>
      <c r="E267" s="151"/>
      <c r="F267" s="204" t="str">
        <f t="shared" si="26"/>
        <v/>
      </c>
      <c r="G267" s="196"/>
      <c r="H267" s="196"/>
      <c r="I267" s="196"/>
      <c r="K267" s="142" t="str">
        <f t="shared" si="27"/>
        <v/>
      </c>
      <c r="L267" s="142" t="str">
        <f t="shared" si="28"/>
        <v/>
      </c>
    </row>
    <row r="268" spans="1:12">
      <c r="A268" s="140" t="str">
        <f>IF(E268="","",VLOOKUP('Opći dio'!$C$3,'Opći dio'!$L$6:$U$136,10,FALSE))</f>
        <v/>
      </c>
      <c r="B268" s="140" t="str">
        <f>IF(E268="","",VLOOKUP('Opći dio'!$C$3,'Opći dio'!$L$6:$U$136,9,FALSE))</f>
        <v/>
      </c>
      <c r="C268" s="200" t="str">
        <f t="shared" si="24"/>
        <v/>
      </c>
      <c r="D268" s="139" t="str">
        <f t="shared" si="25"/>
        <v/>
      </c>
      <c r="E268" s="151"/>
      <c r="F268" s="204" t="str">
        <f t="shared" si="26"/>
        <v/>
      </c>
      <c r="G268" s="196"/>
      <c r="H268" s="196"/>
      <c r="I268" s="196"/>
      <c r="K268" s="142" t="str">
        <f t="shared" si="27"/>
        <v/>
      </c>
      <c r="L268" s="142" t="str">
        <f t="shared" si="28"/>
        <v/>
      </c>
    </row>
    <row r="269" spans="1:12">
      <c r="A269" s="140" t="str">
        <f>IF(E269="","",VLOOKUP('Opći dio'!$C$3,'Opći dio'!$L$6:$U$136,10,FALSE))</f>
        <v/>
      </c>
      <c r="B269" s="140" t="str">
        <f>IF(E269="","",VLOOKUP('Opći dio'!$C$3,'Opći dio'!$L$6:$U$136,9,FALSE))</f>
        <v/>
      </c>
      <c r="C269" s="200" t="str">
        <f t="shared" si="24"/>
        <v/>
      </c>
      <c r="D269" s="139" t="str">
        <f t="shared" si="25"/>
        <v/>
      </c>
      <c r="E269" s="151"/>
      <c r="F269" s="204" t="str">
        <f t="shared" si="26"/>
        <v/>
      </c>
      <c r="G269" s="196"/>
      <c r="H269" s="196"/>
      <c r="I269" s="196"/>
      <c r="K269" s="142" t="str">
        <f t="shared" si="27"/>
        <v/>
      </c>
      <c r="L269" s="142" t="str">
        <f t="shared" si="28"/>
        <v/>
      </c>
    </row>
    <row r="270" spans="1:12">
      <c r="A270" s="140" t="str">
        <f>IF(E270="","",VLOOKUP('Opći dio'!$C$3,'Opći dio'!$L$6:$U$136,10,FALSE))</f>
        <v/>
      </c>
      <c r="B270" s="140" t="str">
        <f>IF(E270="","",VLOOKUP('Opći dio'!$C$3,'Opći dio'!$L$6:$U$136,9,FALSE))</f>
        <v/>
      </c>
      <c r="C270" s="200" t="str">
        <f t="shared" si="24"/>
        <v/>
      </c>
      <c r="D270" s="139" t="str">
        <f t="shared" si="25"/>
        <v/>
      </c>
      <c r="E270" s="151"/>
      <c r="F270" s="204" t="str">
        <f t="shared" si="26"/>
        <v/>
      </c>
      <c r="G270" s="196"/>
      <c r="H270" s="196"/>
      <c r="I270" s="196"/>
      <c r="K270" s="142" t="str">
        <f t="shared" si="27"/>
        <v/>
      </c>
      <c r="L270" s="142" t="str">
        <f t="shared" si="28"/>
        <v/>
      </c>
    </row>
    <row r="271" spans="1:12">
      <c r="A271" s="140" t="str">
        <f>IF(E271="","",VLOOKUP('Opći dio'!$C$3,'Opći dio'!$L$6:$U$136,10,FALSE))</f>
        <v/>
      </c>
      <c r="B271" s="140" t="str">
        <f>IF(E271="","",VLOOKUP('Opći dio'!$C$3,'Opći dio'!$L$6:$U$136,9,FALSE))</f>
        <v/>
      </c>
      <c r="C271" s="200" t="str">
        <f t="shared" si="24"/>
        <v/>
      </c>
      <c r="D271" s="139" t="str">
        <f t="shared" si="25"/>
        <v/>
      </c>
      <c r="E271" s="151"/>
      <c r="F271" s="204" t="str">
        <f t="shared" si="26"/>
        <v/>
      </c>
      <c r="G271" s="196"/>
      <c r="H271" s="196"/>
      <c r="I271" s="196"/>
      <c r="K271" s="142" t="str">
        <f t="shared" si="27"/>
        <v/>
      </c>
      <c r="L271" s="142" t="str">
        <f t="shared" si="28"/>
        <v/>
      </c>
    </row>
    <row r="272" spans="1:12">
      <c r="A272" s="140" t="str">
        <f>IF(E272="","",VLOOKUP('Opći dio'!$C$3,'Opći dio'!$L$6:$U$136,10,FALSE))</f>
        <v/>
      </c>
      <c r="B272" s="140" t="str">
        <f>IF(E272="","",VLOOKUP('Opći dio'!$C$3,'Opći dio'!$L$6:$U$136,9,FALSE))</f>
        <v/>
      </c>
      <c r="C272" s="200" t="str">
        <f t="shared" si="24"/>
        <v/>
      </c>
      <c r="D272" s="139" t="str">
        <f t="shared" si="25"/>
        <v/>
      </c>
      <c r="E272" s="151"/>
      <c r="F272" s="204" t="str">
        <f t="shared" si="26"/>
        <v/>
      </c>
      <c r="G272" s="196"/>
      <c r="H272" s="196"/>
      <c r="I272" s="196"/>
      <c r="K272" s="142" t="str">
        <f t="shared" si="27"/>
        <v/>
      </c>
      <c r="L272" s="142" t="str">
        <f t="shared" si="28"/>
        <v/>
      </c>
    </row>
    <row r="273" spans="1:12">
      <c r="A273" s="140" t="str">
        <f>IF(E273="","",VLOOKUP('Opći dio'!$C$3,'Opći dio'!$L$6:$U$136,10,FALSE))</f>
        <v/>
      </c>
      <c r="B273" s="140" t="str">
        <f>IF(E273="","",VLOOKUP('Opći dio'!$C$3,'Opći dio'!$L$6:$U$136,9,FALSE))</f>
        <v/>
      </c>
      <c r="C273" s="200" t="str">
        <f t="shared" si="24"/>
        <v/>
      </c>
      <c r="D273" s="139" t="str">
        <f t="shared" si="25"/>
        <v/>
      </c>
      <c r="E273" s="151"/>
      <c r="F273" s="204" t="str">
        <f t="shared" si="26"/>
        <v/>
      </c>
      <c r="G273" s="196"/>
      <c r="H273" s="196"/>
      <c r="I273" s="196"/>
      <c r="K273" s="142" t="str">
        <f t="shared" si="27"/>
        <v/>
      </c>
      <c r="L273" s="142" t="str">
        <f t="shared" si="28"/>
        <v/>
      </c>
    </row>
    <row r="274" spans="1:12">
      <c r="A274" s="140" t="str">
        <f>IF(E274="","",VLOOKUP('Opći dio'!$C$3,'Opći dio'!$L$6:$U$136,10,FALSE))</f>
        <v/>
      </c>
      <c r="B274" s="140" t="str">
        <f>IF(E274="","",VLOOKUP('Opći dio'!$C$3,'Opći dio'!$L$6:$U$136,9,FALSE))</f>
        <v/>
      </c>
      <c r="C274" s="200" t="str">
        <f t="shared" si="24"/>
        <v/>
      </c>
      <c r="D274" s="139" t="str">
        <f t="shared" si="25"/>
        <v/>
      </c>
      <c r="E274" s="151"/>
      <c r="F274" s="204" t="str">
        <f t="shared" si="26"/>
        <v/>
      </c>
      <c r="G274" s="196"/>
      <c r="H274" s="196"/>
      <c r="I274" s="196"/>
      <c r="K274" s="142" t="str">
        <f t="shared" si="27"/>
        <v/>
      </c>
      <c r="L274" s="142" t="str">
        <f t="shared" si="28"/>
        <v/>
      </c>
    </row>
    <row r="275" spans="1:12">
      <c r="A275" s="140" t="str">
        <f>IF(E275="","",VLOOKUP('Opći dio'!$C$3,'Opći dio'!$L$6:$U$136,10,FALSE))</f>
        <v/>
      </c>
      <c r="B275" s="140" t="str">
        <f>IF(E275="","",VLOOKUP('Opći dio'!$C$3,'Opći dio'!$L$6:$U$136,9,FALSE))</f>
        <v/>
      </c>
      <c r="C275" s="200" t="str">
        <f t="shared" si="24"/>
        <v/>
      </c>
      <c r="D275" s="139" t="str">
        <f t="shared" si="25"/>
        <v/>
      </c>
      <c r="E275" s="151"/>
      <c r="F275" s="204" t="str">
        <f t="shared" si="26"/>
        <v/>
      </c>
      <c r="G275" s="196"/>
      <c r="H275" s="196"/>
      <c r="I275" s="196"/>
      <c r="K275" s="142" t="str">
        <f t="shared" si="27"/>
        <v/>
      </c>
      <c r="L275" s="142" t="str">
        <f t="shared" si="28"/>
        <v/>
      </c>
    </row>
    <row r="276" spans="1:12">
      <c r="A276" s="140" t="str">
        <f>IF(E276="","",VLOOKUP('Opći dio'!$C$3,'Opći dio'!$L$6:$U$136,10,FALSE))</f>
        <v/>
      </c>
      <c r="B276" s="140" t="str">
        <f>IF(E276="","",VLOOKUP('Opći dio'!$C$3,'Opći dio'!$L$6:$U$136,9,FALSE))</f>
        <v/>
      </c>
      <c r="C276" s="200" t="str">
        <f t="shared" si="24"/>
        <v/>
      </c>
      <c r="D276" s="139" t="str">
        <f t="shared" si="25"/>
        <v/>
      </c>
      <c r="E276" s="151"/>
      <c r="F276" s="204" t="str">
        <f t="shared" si="26"/>
        <v/>
      </c>
      <c r="G276" s="196"/>
      <c r="H276" s="196"/>
      <c r="I276" s="196"/>
      <c r="K276" s="142" t="str">
        <f t="shared" si="27"/>
        <v/>
      </c>
      <c r="L276" s="142" t="str">
        <f t="shared" si="28"/>
        <v/>
      </c>
    </row>
    <row r="277" spans="1:12">
      <c r="A277" s="140" t="str">
        <f>IF(E277="","",VLOOKUP('Opći dio'!$C$3,'Opći dio'!$L$6:$U$136,10,FALSE))</f>
        <v/>
      </c>
      <c r="B277" s="140" t="str">
        <f>IF(E277="","",VLOOKUP('Opći dio'!$C$3,'Opći dio'!$L$6:$U$136,9,FALSE))</f>
        <v/>
      </c>
      <c r="C277" s="200" t="str">
        <f t="shared" si="24"/>
        <v/>
      </c>
      <c r="D277" s="139" t="str">
        <f t="shared" si="25"/>
        <v/>
      </c>
      <c r="E277" s="151"/>
      <c r="F277" s="204" t="str">
        <f t="shared" si="26"/>
        <v/>
      </c>
      <c r="G277" s="196"/>
      <c r="H277" s="196"/>
      <c r="I277" s="196"/>
      <c r="K277" s="142" t="str">
        <f t="shared" si="27"/>
        <v/>
      </c>
      <c r="L277" s="142" t="str">
        <f t="shared" si="28"/>
        <v/>
      </c>
    </row>
    <row r="278" spans="1:12">
      <c r="A278" s="140" t="str">
        <f>IF(E278="","",VLOOKUP('Opći dio'!$C$3,'Opći dio'!$L$6:$U$136,10,FALSE))</f>
        <v/>
      </c>
      <c r="B278" s="140" t="str">
        <f>IF(E278="","",VLOOKUP('Opći dio'!$C$3,'Opći dio'!$L$6:$U$136,9,FALSE))</f>
        <v/>
      </c>
      <c r="C278" s="200" t="str">
        <f t="shared" si="24"/>
        <v/>
      </c>
      <c r="D278" s="139" t="str">
        <f t="shared" si="25"/>
        <v/>
      </c>
      <c r="E278" s="151"/>
      <c r="F278" s="204" t="str">
        <f t="shared" si="26"/>
        <v/>
      </c>
      <c r="G278" s="196"/>
      <c r="H278" s="196"/>
      <c r="I278" s="196"/>
      <c r="K278" s="142" t="str">
        <f t="shared" si="27"/>
        <v/>
      </c>
      <c r="L278" s="142" t="str">
        <f t="shared" si="28"/>
        <v/>
      </c>
    </row>
    <row r="279" spans="1:12">
      <c r="A279" s="140" t="str">
        <f>IF(E279="","",VLOOKUP('Opći dio'!$C$3,'Opći dio'!$L$6:$U$136,10,FALSE))</f>
        <v/>
      </c>
      <c r="B279" s="140" t="str">
        <f>IF(E279="","",VLOOKUP('Opći dio'!$C$3,'Opći dio'!$L$6:$U$136,9,FALSE))</f>
        <v/>
      </c>
      <c r="C279" s="200" t="str">
        <f t="shared" si="24"/>
        <v/>
      </c>
      <c r="D279" s="139" t="str">
        <f t="shared" si="25"/>
        <v/>
      </c>
      <c r="E279" s="151"/>
      <c r="F279" s="204" t="str">
        <f t="shared" si="26"/>
        <v/>
      </c>
      <c r="G279" s="196"/>
      <c r="H279" s="196"/>
      <c r="I279" s="196"/>
      <c r="K279" s="142" t="str">
        <f t="shared" si="27"/>
        <v/>
      </c>
      <c r="L279" s="142" t="str">
        <f t="shared" si="28"/>
        <v/>
      </c>
    </row>
    <row r="280" spans="1:12">
      <c r="A280" s="140" t="str">
        <f>IF(E280="","",VLOOKUP('Opći dio'!$C$3,'Opći dio'!$L$6:$U$136,10,FALSE))</f>
        <v/>
      </c>
      <c r="B280" s="140" t="str">
        <f>IF(E280="","",VLOOKUP('Opći dio'!$C$3,'Opći dio'!$L$6:$U$136,9,FALSE))</f>
        <v/>
      </c>
      <c r="C280" s="200" t="str">
        <f t="shared" si="24"/>
        <v/>
      </c>
      <c r="D280" s="139" t="str">
        <f t="shared" si="25"/>
        <v/>
      </c>
      <c r="E280" s="151"/>
      <c r="F280" s="204" t="str">
        <f t="shared" si="26"/>
        <v/>
      </c>
      <c r="G280" s="196"/>
      <c r="H280" s="196"/>
      <c r="I280" s="196"/>
      <c r="K280" s="142" t="str">
        <f t="shared" si="27"/>
        <v/>
      </c>
      <c r="L280" s="142" t="str">
        <f t="shared" si="28"/>
        <v/>
      </c>
    </row>
    <row r="281" spans="1:12">
      <c r="A281" s="140" t="str">
        <f>IF(E281="","",VLOOKUP('Opći dio'!$C$3,'Opći dio'!$L$6:$U$136,10,FALSE))</f>
        <v/>
      </c>
      <c r="B281" s="140" t="str">
        <f>IF(E281="","",VLOOKUP('Opći dio'!$C$3,'Opći dio'!$L$6:$U$136,9,FALSE))</f>
        <v/>
      </c>
      <c r="C281" s="200" t="str">
        <f t="shared" si="24"/>
        <v/>
      </c>
      <c r="D281" s="139" t="str">
        <f t="shared" si="25"/>
        <v/>
      </c>
      <c r="E281" s="151"/>
      <c r="F281" s="204" t="str">
        <f t="shared" si="26"/>
        <v/>
      </c>
      <c r="G281" s="196"/>
      <c r="H281" s="196"/>
      <c r="I281" s="196"/>
      <c r="K281" s="142" t="str">
        <f t="shared" si="27"/>
        <v/>
      </c>
      <c r="L281" s="142" t="str">
        <f t="shared" si="28"/>
        <v/>
      </c>
    </row>
    <row r="282" spans="1:12">
      <c r="A282" s="140" t="str">
        <f>IF(E282="","",VLOOKUP('Opći dio'!$C$3,'Opći dio'!$L$6:$U$136,10,FALSE))</f>
        <v/>
      </c>
      <c r="B282" s="140" t="str">
        <f>IF(E282="","",VLOOKUP('Opći dio'!$C$3,'Opći dio'!$L$6:$U$136,9,FALSE))</f>
        <v/>
      </c>
      <c r="C282" s="200" t="str">
        <f t="shared" si="24"/>
        <v/>
      </c>
      <c r="D282" s="139" t="str">
        <f t="shared" si="25"/>
        <v/>
      </c>
      <c r="E282" s="151"/>
      <c r="F282" s="204" t="str">
        <f t="shared" si="26"/>
        <v/>
      </c>
      <c r="G282" s="196"/>
      <c r="H282" s="196"/>
      <c r="I282" s="196"/>
      <c r="K282" s="142" t="str">
        <f t="shared" si="27"/>
        <v/>
      </c>
      <c r="L282" s="142" t="str">
        <f t="shared" si="28"/>
        <v/>
      </c>
    </row>
    <row r="283" spans="1:12">
      <c r="A283" s="140" t="str">
        <f>IF(E283="","",VLOOKUP('Opći dio'!$C$3,'Opći dio'!$L$6:$U$136,10,FALSE))</f>
        <v/>
      </c>
      <c r="B283" s="140" t="str">
        <f>IF(E283="","",VLOOKUP('Opći dio'!$C$3,'Opći dio'!$L$6:$U$136,9,FALSE))</f>
        <v/>
      </c>
      <c r="C283" s="200" t="str">
        <f t="shared" si="24"/>
        <v/>
      </c>
      <c r="D283" s="139" t="str">
        <f t="shared" si="25"/>
        <v/>
      </c>
      <c r="E283" s="151"/>
      <c r="F283" s="204" t="str">
        <f t="shared" si="26"/>
        <v/>
      </c>
      <c r="G283" s="196"/>
      <c r="H283" s="196"/>
      <c r="I283" s="196"/>
      <c r="K283" s="142" t="str">
        <f t="shared" si="27"/>
        <v/>
      </c>
      <c r="L283" s="142" t="str">
        <f t="shared" si="28"/>
        <v/>
      </c>
    </row>
    <row r="284" spans="1:12">
      <c r="A284" s="140" t="str">
        <f>IF(E284="","",VLOOKUP('Opći dio'!$C$3,'Opći dio'!$L$6:$U$136,10,FALSE))</f>
        <v/>
      </c>
      <c r="B284" s="140" t="str">
        <f>IF(E284="","",VLOOKUP('Opći dio'!$C$3,'Opći dio'!$L$6:$U$136,9,FALSE))</f>
        <v/>
      </c>
      <c r="C284" s="200" t="str">
        <f t="shared" si="24"/>
        <v/>
      </c>
      <c r="D284" s="139" t="str">
        <f t="shared" si="25"/>
        <v/>
      </c>
      <c r="E284" s="151"/>
      <c r="F284" s="204" t="str">
        <f t="shared" si="26"/>
        <v/>
      </c>
      <c r="G284" s="196"/>
      <c r="H284" s="196"/>
      <c r="I284" s="196"/>
      <c r="K284" s="142" t="str">
        <f t="shared" si="27"/>
        <v/>
      </c>
      <c r="L284" s="142" t="str">
        <f t="shared" si="28"/>
        <v/>
      </c>
    </row>
    <row r="285" spans="1:12">
      <c r="A285" s="140" t="str">
        <f>IF(E285="","",VLOOKUP('Opći dio'!$C$3,'Opći dio'!$L$6:$U$136,10,FALSE))</f>
        <v/>
      </c>
      <c r="B285" s="140" t="str">
        <f>IF(E285="","",VLOOKUP('Opći dio'!$C$3,'Opći dio'!$L$6:$U$136,9,FALSE))</f>
        <v/>
      </c>
      <c r="C285" s="200" t="str">
        <f t="shared" si="24"/>
        <v/>
      </c>
      <c r="D285" s="139" t="str">
        <f t="shared" si="25"/>
        <v/>
      </c>
      <c r="E285" s="151"/>
      <c r="F285" s="204" t="str">
        <f t="shared" si="26"/>
        <v/>
      </c>
      <c r="G285" s="196"/>
      <c r="H285" s="196"/>
      <c r="I285" s="196"/>
      <c r="K285" s="142" t="str">
        <f t="shared" si="27"/>
        <v/>
      </c>
      <c r="L285" s="142" t="str">
        <f t="shared" si="28"/>
        <v/>
      </c>
    </row>
    <row r="286" spans="1:12">
      <c r="A286" s="140" t="str">
        <f>IF(E286="","",VLOOKUP('Opći dio'!$C$3,'Opći dio'!$L$6:$U$136,10,FALSE))</f>
        <v/>
      </c>
      <c r="B286" s="140" t="str">
        <f>IF(E286="","",VLOOKUP('Opći dio'!$C$3,'Opći dio'!$L$6:$U$136,9,FALSE))</f>
        <v/>
      </c>
      <c r="C286" s="200" t="str">
        <f t="shared" si="24"/>
        <v/>
      </c>
      <c r="D286" s="139" t="str">
        <f t="shared" si="25"/>
        <v/>
      </c>
      <c r="E286" s="151"/>
      <c r="F286" s="204" t="str">
        <f t="shared" si="26"/>
        <v/>
      </c>
      <c r="G286" s="196"/>
      <c r="H286" s="196"/>
      <c r="I286" s="196"/>
      <c r="K286" s="142" t="str">
        <f t="shared" si="27"/>
        <v/>
      </c>
      <c r="L286" s="142" t="str">
        <f t="shared" si="28"/>
        <v/>
      </c>
    </row>
    <row r="287" spans="1:12">
      <c r="A287" s="140" t="str">
        <f>IF(E287="","",VLOOKUP('Opći dio'!$C$3,'Opći dio'!$L$6:$U$136,10,FALSE))</f>
        <v/>
      </c>
      <c r="B287" s="140" t="str">
        <f>IF(E287="","",VLOOKUP('Opći dio'!$C$3,'Opći dio'!$L$6:$U$136,9,FALSE))</f>
        <v/>
      </c>
      <c r="C287" s="200" t="str">
        <f t="shared" si="24"/>
        <v/>
      </c>
      <c r="D287" s="139" t="str">
        <f t="shared" si="25"/>
        <v/>
      </c>
      <c r="E287" s="151"/>
      <c r="F287" s="204" t="str">
        <f t="shared" si="26"/>
        <v/>
      </c>
      <c r="G287" s="196"/>
      <c r="H287" s="196"/>
      <c r="I287" s="196"/>
      <c r="K287" s="142" t="str">
        <f t="shared" si="27"/>
        <v/>
      </c>
      <c r="L287" s="142" t="str">
        <f t="shared" si="28"/>
        <v/>
      </c>
    </row>
    <row r="288" spans="1:12">
      <c r="A288" s="140" t="str">
        <f>IF(E288="","",VLOOKUP('Opći dio'!$C$3,'Opći dio'!$L$6:$U$136,10,FALSE))</f>
        <v/>
      </c>
      <c r="B288" s="140" t="str">
        <f>IF(E288="","",VLOOKUP('Opći dio'!$C$3,'Opći dio'!$L$6:$U$136,9,FALSE))</f>
        <v/>
      </c>
      <c r="C288" s="200" t="str">
        <f t="shared" si="24"/>
        <v/>
      </c>
      <c r="D288" s="139" t="str">
        <f t="shared" si="25"/>
        <v/>
      </c>
      <c r="E288" s="151"/>
      <c r="F288" s="204" t="str">
        <f t="shared" si="26"/>
        <v/>
      </c>
      <c r="G288" s="196"/>
      <c r="H288" s="196"/>
      <c r="I288" s="196"/>
      <c r="K288" s="142" t="str">
        <f t="shared" si="27"/>
        <v/>
      </c>
      <c r="L288" s="142" t="str">
        <f t="shared" si="28"/>
        <v/>
      </c>
    </row>
    <row r="289" spans="1:12">
      <c r="A289" s="140" t="str">
        <f>IF(E289="","",VLOOKUP('Opći dio'!$C$3,'Opći dio'!$L$6:$U$136,10,FALSE))</f>
        <v/>
      </c>
      <c r="B289" s="140" t="str">
        <f>IF(E289="","",VLOOKUP('Opći dio'!$C$3,'Opći dio'!$L$6:$U$136,9,FALSE))</f>
        <v/>
      </c>
      <c r="C289" s="200" t="str">
        <f t="shared" si="24"/>
        <v/>
      </c>
      <c r="D289" s="139" t="str">
        <f t="shared" si="25"/>
        <v/>
      </c>
      <c r="E289" s="151"/>
      <c r="F289" s="204" t="str">
        <f t="shared" si="26"/>
        <v/>
      </c>
      <c r="G289" s="196"/>
      <c r="H289" s="196"/>
      <c r="I289" s="196"/>
      <c r="K289" s="142" t="str">
        <f t="shared" si="27"/>
        <v/>
      </c>
      <c r="L289" s="142" t="str">
        <f t="shared" si="28"/>
        <v/>
      </c>
    </row>
    <row r="290" spans="1:12">
      <c r="A290" s="140" t="str">
        <f>IF(E290="","",VLOOKUP('Opći dio'!$C$3,'Opći dio'!$L$6:$U$136,10,FALSE))</f>
        <v/>
      </c>
      <c r="B290" s="140" t="str">
        <f>IF(E290="","",VLOOKUP('Opći dio'!$C$3,'Opći dio'!$L$6:$U$136,9,FALSE))</f>
        <v/>
      </c>
      <c r="C290" s="200" t="str">
        <f t="shared" si="24"/>
        <v/>
      </c>
      <c r="D290" s="139" t="str">
        <f t="shared" si="25"/>
        <v/>
      </c>
      <c r="E290" s="151"/>
      <c r="F290" s="204" t="str">
        <f t="shared" si="26"/>
        <v/>
      </c>
      <c r="G290" s="196"/>
      <c r="H290" s="196"/>
      <c r="I290" s="196"/>
      <c r="K290" s="142" t="str">
        <f t="shared" si="27"/>
        <v/>
      </c>
      <c r="L290" s="142" t="str">
        <f t="shared" si="28"/>
        <v/>
      </c>
    </row>
    <row r="291" spans="1:12">
      <c r="A291" s="140" t="str">
        <f>IF(E291="","",VLOOKUP('Opći dio'!$C$3,'Opći dio'!$L$6:$U$136,10,FALSE))</f>
        <v/>
      </c>
      <c r="B291" s="140" t="str">
        <f>IF(E291="","",VLOOKUP('Opći dio'!$C$3,'Opći dio'!$L$6:$U$136,9,FALSE))</f>
        <v/>
      </c>
      <c r="C291" s="200" t="str">
        <f t="shared" si="24"/>
        <v/>
      </c>
      <c r="D291" s="139" t="str">
        <f t="shared" si="25"/>
        <v/>
      </c>
      <c r="E291" s="151"/>
      <c r="F291" s="204" t="str">
        <f t="shared" si="26"/>
        <v/>
      </c>
      <c r="G291" s="196"/>
      <c r="H291" s="196"/>
      <c r="I291" s="196"/>
      <c r="K291" s="142" t="str">
        <f t="shared" si="27"/>
        <v/>
      </c>
      <c r="L291" s="142" t="str">
        <f t="shared" si="28"/>
        <v/>
      </c>
    </row>
    <row r="292" spans="1:12">
      <c r="A292" s="140" t="str">
        <f>IF(E292="","",VLOOKUP('Opći dio'!$C$3,'Opći dio'!$L$6:$U$136,10,FALSE))</f>
        <v/>
      </c>
      <c r="B292" s="140" t="str">
        <f>IF(E292="","",VLOOKUP('Opći dio'!$C$3,'Opći dio'!$L$6:$U$136,9,FALSE))</f>
        <v/>
      </c>
      <c r="C292" s="200" t="str">
        <f t="shared" si="24"/>
        <v/>
      </c>
      <c r="D292" s="139" t="str">
        <f t="shared" si="25"/>
        <v/>
      </c>
      <c r="E292" s="151"/>
      <c r="F292" s="204" t="str">
        <f t="shared" si="26"/>
        <v/>
      </c>
      <c r="G292" s="196"/>
      <c r="H292" s="196"/>
      <c r="I292" s="196"/>
      <c r="K292" s="142" t="str">
        <f t="shared" si="27"/>
        <v/>
      </c>
      <c r="L292" s="142" t="str">
        <f t="shared" si="28"/>
        <v/>
      </c>
    </row>
    <row r="293" spans="1:12">
      <c r="A293" s="140" t="str">
        <f>IF(E293="","",VLOOKUP('Opći dio'!$C$3,'Opći dio'!$L$6:$U$136,10,FALSE))</f>
        <v/>
      </c>
      <c r="B293" s="140" t="str">
        <f>IF(E293="","",VLOOKUP('Opći dio'!$C$3,'Opći dio'!$L$6:$U$136,9,FALSE))</f>
        <v/>
      </c>
      <c r="C293" s="200" t="str">
        <f t="shared" si="24"/>
        <v/>
      </c>
      <c r="D293" s="139" t="str">
        <f t="shared" si="25"/>
        <v/>
      </c>
      <c r="E293" s="151"/>
      <c r="F293" s="204" t="str">
        <f t="shared" si="26"/>
        <v/>
      </c>
      <c r="G293" s="196"/>
      <c r="H293" s="196"/>
      <c r="I293" s="196"/>
      <c r="K293" s="142" t="str">
        <f t="shared" si="27"/>
        <v/>
      </c>
      <c r="L293" s="142" t="str">
        <f t="shared" si="28"/>
        <v/>
      </c>
    </row>
    <row r="294" spans="1:12">
      <c r="A294" s="140" t="str">
        <f>IF(E294="","",VLOOKUP('Opći dio'!$C$3,'Opći dio'!$L$6:$U$136,10,FALSE))</f>
        <v/>
      </c>
      <c r="B294" s="140" t="str">
        <f>IF(E294="","",VLOOKUP('Opći dio'!$C$3,'Opći dio'!$L$6:$U$136,9,FALSE))</f>
        <v/>
      </c>
      <c r="C294" s="200" t="str">
        <f t="shared" si="24"/>
        <v/>
      </c>
      <c r="D294" s="139" t="str">
        <f t="shared" si="25"/>
        <v/>
      </c>
      <c r="E294" s="151"/>
      <c r="F294" s="204" t="str">
        <f t="shared" si="26"/>
        <v/>
      </c>
      <c r="G294" s="196"/>
      <c r="H294" s="196"/>
      <c r="I294" s="196"/>
      <c r="K294" s="142" t="str">
        <f t="shared" si="27"/>
        <v/>
      </c>
      <c r="L294" s="142" t="str">
        <f t="shared" si="28"/>
        <v/>
      </c>
    </row>
    <row r="295" spans="1:12">
      <c r="A295" s="140" t="str">
        <f>IF(E295="","",VLOOKUP('Opći dio'!$C$3,'Opći dio'!$L$6:$U$136,10,FALSE))</f>
        <v/>
      </c>
      <c r="B295" s="140" t="str">
        <f>IF(E295="","",VLOOKUP('Opći dio'!$C$3,'Opći dio'!$L$6:$U$136,9,FALSE))</f>
        <v/>
      </c>
      <c r="C295" s="200" t="str">
        <f t="shared" si="24"/>
        <v/>
      </c>
      <c r="D295" s="139" t="str">
        <f t="shared" si="25"/>
        <v/>
      </c>
      <c r="E295" s="151"/>
      <c r="F295" s="204" t="str">
        <f t="shared" si="26"/>
        <v/>
      </c>
      <c r="G295" s="196"/>
      <c r="H295" s="196"/>
      <c r="I295" s="196"/>
      <c r="K295" s="142" t="str">
        <f t="shared" si="27"/>
        <v/>
      </c>
      <c r="L295" s="142" t="str">
        <f t="shared" si="28"/>
        <v/>
      </c>
    </row>
    <row r="296" spans="1:12">
      <c r="A296" s="140" t="str">
        <f>IF(E296="","",VLOOKUP('Opći dio'!$C$3,'Opći dio'!$L$6:$U$136,10,FALSE))</f>
        <v/>
      </c>
      <c r="B296" s="140" t="str">
        <f>IF(E296="","",VLOOKUP('Opći dio'!$C$3,'Opći dio'!$L$6:$U$136,9,FALSE))</f>
        <v/>
      </c>
      <c r="C296" s="200" t="str">
        <f t="shared" si="24"/>
        <v/>
      </c>
      <c r="D296" s="139" t="str">
        <f t="shared" si="25"/>
        <v/>
      </c>
      <c r="E296" s="151"/>
      <c r="F296" s="204" t="str">
        <f t="shared" si="26"/>
        <v/>
      </c>
      <c r="G296" s="196"/>
      <c r="H296" s="196"/>
      <c r="I296" s="196"/>
      <c r="K296" s="142" t="str">
        <f t="shared" si="27"/>
        <v/>
      </c>
      <c r="L296" s="142" t="str">
        <f t="shared" si="28"/>
        <v/>
      </c>
    </row>
    <row r="297" spans="1:12">
      <c r="A297" s="140" t="str">
        <f>IF(E297="","",VLOOKUP('Opći dio'!$C$3,'Opći dio'!$L$6:$U$136,10,FALSE))</f>
        <v/>
      </c>
      <c r="B297" s="140" t="str">
        <f>IF(E297="","",VLOOKUP('Opći dio'!$C$3,'Opći dio'!$L$6:$U$136,9,FALSE))</f>
        <v/>
      </c>
      <c r="C297" s="200" t="str">
        <f t="shared" si="24"/>
        <v/>
      </c>
      <c r="D297" s="139" t="str">
        <f t="shared" si="25"/>
        <v/>
      </c>
      <c r="E297" s="151"/>
      <c r="F297" s="204" t="str">
        <f t="shared" si="26"/>
        <v/>
      </c>
      <c r="G297" s="196"/>
      <c r="H297" s="196"/>
      <c r="I297" s="196"/>
      <c r="K297" s="142" t="str">
        <f t="shared" si="27"/>
        <v/>
      </c>
      <c r="L297" s="142" t="str">
        <f t="shared" si="28"/>
        <v/>
      </c>
    </row>
    <row r="298" spans="1:12">
      <c r="A298" s="140" t="str">
        <f>IF(E298="","",VLOOKUP('Opći dio'!$C$3,'Opći dio'!$L$6:$U$136,10,FALSE))</f>
        <v/>
      </c>
      <c r="B298" s="140" t="str">
        <f>IF(E298="","",VLOOKUP('Opći dio'!$C$3,'Opći dio'!$L$6:$U$136,9,FALSE))</f>
        <v/>
      </c>
      <c r="C298" s="200" t="str">
        <f t="shared" si="24"/>
        <v/>
      </c>
      <c r="D298" s="139" t="str">
        <f t="shared" si="25"/>
        <v/>
      </c>
      <c r="E298" s="151"/>
      <c r="F298" s="204" t="str">
        <f t="shared" si="26"/>
        <v/>
      </c>
      <c r="G298" s="196"/>
      <c r="H298" s="196"/>
      <c r="I298" s="196"/>
      <c r="K298" s="142" t="str">
        <f t="shared" si="27"/>
        <v/>
      </c>
      <c r="L298" s="142" t="str">
        <f t="shared" si="28"/>
        <v/>
      </c>
    </row>
    <row r="299" spans="1:12">
      <c r="A299" s="140" t="str">
        <f>IF(E299="","",VLOOKUP('Opći dio'!$C$3,'Opći dio'!$L$6:$U$136,10,FALSE))</f>
        <v/>
      </c>
      <c r="B299" s="140" t="str">
        <f>IF(E299="","",VLOOKUP('Opći dio'!$C$3,'Opći dio'!$L$6:$U$136,9,FALSE))</f>
        <v/>
      </c>
      <c r="C299" s="200" t="str">
        <f t="shared" si="24"/>
        <v/>
      </c>
      <c r="D299" s="139" t="str">
        <f t="shared" si="25"/>
        <v/>
      </c>
      <c r="E299" s="151"/>
      <c r="F299" s="204" t="str">
        <f t="shared" si="26"/>
        <v/>
      </c>
      <c r="G299" s="196"/>
      <c r="H299" s="196"/>
      <c r="I299" s="196"/>
      <c r="K299" s="142" t="str">
        <f t="shared" si="27"/>
        <v/>
      </c>
      <c r="L299" s="142" t="str">
        <f t="shared" si="28"/>
        <v/>
      </c>
    </row>
    <row r="300" spans="1:12">
      <c r="A300" s="140" t="str">
        <f>IF(E300="","",VLOOKUP('Opći dio'!$C$3,'Opći dio'!$L$6:$U$136,10,FALSE))</f>
        <v/>
      </c>
      <c r="B300" s="140" t="str">
        <f>IF(E300="","",VLOOKUP('Opći dio'!$C$3,'Opći dio'!$L$6:$U$136,9,FALSE))</f>
        <v/>
      </c>
      <c r="C300" s="200" t="str">
        <f t="shared" si="24"/>
        <v/>
      </c>
      <c r="D300" s="139" t="str">
        <f t="shared" si="25"/>
        <v/>
      </c>
      <c r="E300" s="151"/>
      <c r="F300" s="204" t="str">
        <f t="shared" si="26"/>
        <v/>
      </c>
      <c r="G300" s="196"/>
      <c r="H300" s="196"/>
      <c r="I300" s="196"/>
      <c r="K300" s="142" t="str">
        <f t="shared" si="27"/>
        <v/>
      </c>
      <c r="L300" s="142" t="str">
        <f t="shared" si="28"/>
        <v/>
      </c>
    </row>
    <row r="301" spans="1:12">
      <c r="A301" s="140" t="str">
        <f>IF(E301="","",VLOOKUP('Opći dio'!$C$3,'Opći dio'!$L$6:$U$136,10,FALSE))</f>
        <v/>
      </c>
      <c r="B301" s="140" t="str">
        <f>IF(E301="","",VLOOKUP('Opći dio'!$C$3,'Opći dio'!$L$6:$U$136,9,FALSE))</f>
        <v/>
      </c>
      <c r="C301" s="200" t="str">
        <f t="shared" si="24"/>
        <v/>
      </c>
      <c r="D301" s="139" t="str">
        <f t="shared" si="25"/>
        <v/>
      </c>
      <c r="E301" s="151"/>
      <c r="F301" s="204" t="str">
        <f t="shared" si="26"/>
        <v/>
      </c>
      <c r="G301" s="196"/>
      <c r="H301" s="196"/>
      <c r="I301" s="196"/>
      <c r="K301" s="142" t="str">
        <f t="shared" si="27"/>
        <v/>
      </c>
      <c r="L301" s="142" t="str">
        <f t="shared" si="28"/>
        <v/>
      </c>
    </row>
    <row r="302" spans="1:12">
      <c r="A302" s="140" t="str">
        <f>IF(E302="","",VLOOKUP('Opći dio'!$C$3,'Opći dio'!$L$6:$U$136,10,FALSE))</f>
        <v/>
      </c>
      <c r="B302" s="140" t="str">
        <f>IF(E302="","",VLOOKUP('Opći dio'!$C$3,'Opći dio'!$L$6:$U$136,9,FALSE))</f>
        <v/>
      </c>
      <c r="C302" s="200" t="str">
        <f t="shared" si="24"/>
        <v/>
      </c>
      <c r="D302" s="139" t="str">
        <f t="shared" si="25"/>
        <v/>
      </c>
      <c r="E302" s="151"/>
      <c r="F302" s="204" t="str">
        <f t="shared" si="26"/>
        <v/>
      </c>
      <c r="G302" s="196"/>
      <c r="H302" s="196"/>
      <c r="I302" s="196"/>
      <c r="K302" s="142" t="str">
        <f t="shared" si="27"/>
        <v/>
      </c>
      <c r="L302" s="142" t="str">
        <f t="shared" si="28"/>
        <v/>
      </c>
    </row>
    <row r="303" spans="1:12">
      <c r="A303" s="140" t="str">
        <f>IF(E303="","",VLOOKUP('Opći dio'!$C$3,'Opći dio'!$L$6:$U$136,10,FALSE))</f>
        <v/>
      </c>
      <c r="B303" s="140" t="str">
        <f>IF(E303="","",VLOOKUP('Opći dio'!$C$3,'Opći dio'!$L$6:$U$136,9,FALSE))</f>
        <v/>
      </c>
      <c r="C303" s="200" t="str">
        <f t="shared" si="24"/>
        <v/>
      </c>
      <c r="D303" s="139" t="str">
        <f t="shared" si="25"/>
        <v/>
      </c>
      <c r="E303" s="151"/>
      <c r="F303" s="204" t="str">
        <f t="shared" si="26"/>
        <v/>
      </c>
      <c r="G303" s="196"/>
      <c r="H303" s="196"/>
      <c r="I303" s="196"/>
      <c r="K303" s="142" t="str">
        <f t="shared" si="27"/>
        <v/>
      </c>
      <c r="L303" s="142" t="str">
        <f t="shared" si="28"/>
        <v/>
      </c>
    </row>
    <row r="304" spans="1:12">
      <c r="A304" s="140" t="str">
        <f>IF(E304="","",VLOOKUP('Opći dio'!$C$3,'Opći dio'!$L$6:$U$136,10,FALSE))</f>
        <v/>
      </c>
      <c r="B304" s="140" t="str">
        <f>IF(E304="","",VLOOKUP('Opći dio'!$C$3,'Opći dio'!$L$6:$U$136,9,FALSE))</f>
        <v/>
      </c>
      <c r="C304" s="200" t="str">
        <f t="shared" si="24"/>
        <v/>
      </c>
      <c r="D304" s="139" t="str">
        <f t="shared" si="25"/>
        <v/>
      </c>
      <c r="E304" s="151"/>
      <c r="F304" s="204" t="str">
        <f t="shared" si="26"/>
        <v/>
      </c>
      <c r="G304" s="196"/>
      <c r="H304" s="196"/>
      <c r="I304" s="196"/>
      <c r="K304" s="142" t="str">
        <f t="shared" si="27"/>
        <v/>
      </c>
      <c r="L304" s="142" t="str">
        <f t="shared" si="28"/>
        <v/>
      </c>
    </row>
    <row r="305" spans="1:12">
      <c r="A305" s="140" t="str">
        <f>IF(E305="","",VLOOKUP('Opći dio'!$C$3,'Opći dio'!$L$6:$U$136,10,FALSE))</f>
        <v/>
      </c>
      <c r="B305" s="140" t="str">
        <f>IF(E305="","",VLOOKUP('Opći dio'!$C$3,'Opći dio'!$L$6:$U$136,9,FALSE))</f>
        <v/>
      </c>
      <c r="C305" s="200" t="str">
        <f t="shared" si="24"/>
        <v/>
      </c>
      <c r="D305" s="139" t="str">
        <f t="shared" si="25"/>
        <v/>
      </c>
      <c r="E305" s="151"/>
      <c r="F305" s="204" t="str">
        <f t="shared" si="26"/>
        <v/>
      </c>
      <c r="G305" s="196"/>
      <c r="H305" s="196"/>
      <c r="I305" s="196"/>
      <c r="K305" s="142" t="str">
        <f t="shared" si="27"/>
        <v/>
      </c>
      <c r="L305" s="142" t="str">
        <f t="shared" si="28"/>
        <v/>
      </c>
    </row>
    <row r="306" spans="1:12">
      <c r="A306" s="140" t="str">
        <f>IF(E306="","",VLOOKUP('Opći dio'!$C$3,'Opći dio'!$L$6:$U$136,10,FALSE))</f>
        <v/>
      </c>
      <c r="B306" s="140" t="str">
        <f>IF(E306="","",VLOOKUP('Opći dio'!$C$3,'Opći dio'!$L$6:$U$136,9,FALSE))</f>
        <v/>
      </c>
      <c r="C306" s="200" t="str">
        <f t="shared" si="24"/>
        <v/>
      </c>
      <c r="D306" s="139" t="str">
        <f t="shared" si="25"/>
        <v/>
      </c>
      <c r="E306" s="151"/>
      <c r="F306" s="204" t="str">
        <f t="shared" si="26"/>
        <v/>
      </c>
      <c r="G306" s="196"/>
      <c r="H306" s="196"/>
      <c r="I306" s="196"/>
      <c r="K306" s="142" t="str">
        <f t="shared" si="27"/>
        <v/>
      </c>
      <c r="L306" s="142" t="str">
        <f t="shared" si="28"/>
        <v/>
      </c>
    </row>
    <row r="307" spans="1:12">
      <c r="A307" s="140" t="str">
        <f>IF(E307="","",VLOOKUP('Opći dio'!$C$3,'Opći dio'!$L$6:$U$136,10,FALSE))</f>
        <v/>
      </c>
      <c r="B307" s="140" t="str">
        <f>IF(E307="","",VLOOKUP('Opći dio'!$C$3,'Opći dio'!$L$6:$U$136,9,FALSE))</f>
        <v/>
      </c>
      <c r="C307" s="200" t="str">
        <f t="shared" si="24"/>
        <v/>
      </c>
      <c r="D307" s="139" t="str">
        <f t="shared" si="25"/>
        <v/>
      </c>
      <c r="E307" s="151"/>
      <c r="F307" s="204" t="str">
        <f t="shared" si="26"/>
        <v/>
      </c>
      <c r="G307" s="196"/>
      <c r="H307" s="196"/>
      <c r="I307" s="196"/>
      <c r="K307" s="142" t="str">
        <f t="shared" si="27"/>
        <v/>
      </c>
      <c r="L307" s="142" t="str">
        <f t="shared" si="28"/>
        <v/>
      </c>
    </row>
    <row r="308" spans="1:12">
      <c r="A308" s="140" t="str">
        <f>IF(E308="","",VLOOKUP('Opći dio'!$C$3,'Opći dio'!$L$6:$U$136,10,FALSE))</f>
        <v/>
      </c>
      <c r="B308" s="140" t="str">
        <f>IF(E308="","",VLOOKUP('Opći dio'!$C$3,'Opći dio'!$L$6:$U$136,9,FALSE))</f>
        <v/>
      </c>
      <c r="C308" s="200" t="str">
        <f t="shared" si="24"/>
        <v/>
      </c>
      <c r="D308" s="139" t="str">
        <f t="shared" si="25"/>
        <v/>
      </c>
      <c r="E308" s="151"/>
      <c r="F308" s="204" t="str">
        <f t="shared" si="26"/>
        <v/>
      </c>
      <c r="G308" s="196"/>
      <c r="H308" s="196"/>
      <c r="I308" s="196"/>
      <c r="K308" s="142" t="str">
        <f t="shared" si="27"/>
        <v/>
      </c>
      <c r="L308" s="142" t="str">
        <f t="shared" si="28"/>
        <v/>
      </c>
    </row>
    <row r="309" spans="1:12">
      <c r="A309" s="140" t="str">
        <f>IF(E309="","",VLOOKUP('Opći dio'!$C$3,'Opći dio'!$L$6:$U$136,10,FALSE))</f>
        <v/>
      </c>
      <c r="B309" s="140" t="str">
        <f>IF(E309="","",VLOOKUP('Opći dio'!$C$3,'Opći dio'!$L$6:$U$136,9,FALSE))</f>
        <v/>
      </c>
      <c r="C309" s="200" t="str">
        <f t="shared" si="24"/>
        <v/>
      </c>
      <c r="D309" s="139" t="str">
        <f t="shared" si="25"/>
        <v/>
      </c>
      <c r="E309" s="151"/>
      <c r="F309" s="204" t="str">
        <f t="shared" si="26"/>
        <v/>
      </c>
      <c r="G309" s="196"/>
      <c r="H309" s="196"/>
      <c r="I309" s="196"/>
      <c r="K309" s="142" t="str">
        <f t="shared" si="27"/>
        <v/>
      </c>
      <c r="L309" s="142" t="str">
        <f t="shared" si="28"/>
        <v/>
      </c>
    </row>
    <row r="310" spans="1:12">
      <c r="A310" s="140" t="str">
        <f>IF(E310="","",VLOOKUP('Opći dio'!$C$3,'Opći dio'!$L$6:$U$136,10,FALSE))</f>
        <v/>
      </c>
      <c r="B310" s="140" t="str">
        <f>IF(E310="","",VLOOKUP('Opći dio'!$C$3,'Opći dio'!$L$6:$U$136,9,FALSE))</f>
        <v/>
      </c>
      <c r="C310" s="200" t="str">
        <f t="shared" si="24"/>
        <v/>
      </c>
      <c r="D310" s="139" t="str">
        <f t="shared" si="25"/>
        <v/>
      </c>
      <c r="E310" s="151"/>
      <c r="F310" s="204" t="str">
        <f t="shared" si="26"/>
        <v/>
      </c>
      <c r="G310" s="196"/>
      <c r="H310" s="196"/>
      <c r="I310" s="196"/>
      <c r="K310" s="142" t="str">
        <f t="shared" si="27"/>
        <v/>
      </c>
      <c r="L310" s="142" t="str">
        <f t="shared" si="28"/>
        <v/>
      </c>
    </row>
    <row r="311" spans="1:12">
      <c r="A311" s="140" t="str">
        <f>IF(E311="","",VLOOKUP('Opći dio'!$C$3,'Opći dio'!$L$6:$U$136,10,FALSE))</f>
        <v/>
      </c>
      <c r="B311" s="140" t="str">
        <f>IF(E311="","",VLOOKUP('Opći dio'!$C$3,'Opći dio'!$L$6:$U$136,9,FALSE))</f>
        <v/>
      </c>
      <c r="C311" s="200" t="str">
        <f t="shared" si="24"/>
        <v/>
      </c>
      <c r="D311" s="139" t="str">
        <f t="shared" si="25"/>
        <v/>
      </c>
      <c r="E311" s="151"/>
      <c r="F311" s="204" t="str">
        <f t="shared" si="26"/>
        <v/>
      </c>
      <c r="G311" s="196"/>
      <c r="H311" s="196"/>
      <c r="I311" s="196"/>
      <c r="K311" s="142" t="str">
        <f t="shared" si="27"/>
        <v/>
      </c>
      <c r="L311" s="142" t="str">
        <f t="shared" si="28"/>
        <v/>
      </c>
    </row>
    <row r="312" spans="1:12">
      <c r="A312" s="140" t="str">
        <f>IF(E312="","",VLOOKUP('Opći dio'!$C$3,'Opći dio'!$L$6:$U$136,10,FALSE))</f>
        <v/>
      </c>
      <c r="B312" s="140" t="str">
        <f>IF(E312="","",VLOOKUP('Opći dio'!$C$3,'Opći dio'!$L$6:$U$136,9,FALSE))</f>
        <v/>
      </c>
      <c r="C312" s="200" t="str">
        <f t="shared" si="24"/>
        <v/>
      </c>
      <c r="D312" s="139" t="str">
        <f t="shared" si="25"/>
        <v/>
      </c>
      <c r="E312" s="151"/>
      <c r="F312" s="204" t="str">
        <f t="shared" si="26"/>
        <v/>
      </c>
      <c r="G312" s="196"/>
      <c r="H312" s="196"/>
      <c r="I312" s="196"/>
      <c r="K312" s="142" t="str">
        <f t="shared" si="27"/>
        <v/>
      </c>
      <c r="L312" s="142" t="str">
        <f t="shared" si="28"/>
        <v/>
      </c>
    </row>
    <row r="313" spans="1:12">
      <c r="A313" s="140" t="str">
        <f>IF(E313="","",VLOOKUP('Opći dio'!$C$3,'Opći dio'!$L$6:$U$136,10,FALSE))</f>
        <v/>
      </c>
      <c r="B313" s="140" t="str">
        <f>IF(E313="","",VLOOKUP('Opći dio'!$C$3,'Opći dio'!$L$6:$U$136,9,FALSE))</f>
        <v/>
      </c>
      <c r="C313" s="200" t="str">
        <f t="shared" si="24"/>
        <v/>
      </c>
      <c r="D313" s="139" t="str">
        <f t="shared" si="25"/>
        <v/>
      </c>
      <c r="E313" s="151"/>
      <c r="F313" s="204" t="str">
        <f t="shared" si="26"/>
        <v/>
      </c>
      <c r="G313" s="196"/>
      <c r="H313" s="196"/>
      <c r="I313" s="196"/>
      <c r="K313" s="142" t="str">
        <f t="shared" si="27"/>
        <v/>
      </c>
      <c r="L313" s="142" t="str">
        <f t="shared" si="28"/>
        <v/>
      </c>
    </row>
    <row r="314" spans="1:12">
      <c r="A314" s="140" t="str">
        <f>IF(E314="","",VLOOKUP('Opći dio'!$C$3,'Opći dio'!$L$6:$U$136,10,FALSE))</f>
        <v/>
      </c>
      <c r="B314" s="140" t="str">
        <f>IF(E314="","",VLOOKUP('Opći dio'!$C$3,'Opći dio'!$L$6:$U$136,9,FALSE))</f>
        <v/>
      </c>
      <c r="C314" s="200" t="str">
        <f t="shared" si="24"/>
        <v/>
      </c>
      <c r="D314" s="139" t="str">
        <f t="shared" si="25"/>
        <v/>
      </c>
      <c r="E314" s="151"/>
      <c r="F314" s="204" t="str">
        <f t="shared" si="26"/>
        <v/>
      </c>
      <c r="G314" s="196"/>
      <c r="H314" s="196"/>
      <c r="I314" s="196"/>
      <c r="K314" s="142" t="str">
        <f t="shared" si="27"/>
        <v/>
      </c>
      <c r="L314" s="142" t="str">
        <f t="shared" si="28"/>
        <v/>
      </c>
    </row>
    <row r="315" spans="1:12">
      <c r="A315" s="140" t="str">
        <f>IF(E315="","",VLOOKUP('Opći dio'!$C$3,'Opći dio'!$L$6:$U$136,10,FALSE))</f>
        <v/>
      </c>
      <c r="B315" s="140" t="str">
        <f>IF(E315="","",VLOOKUP('Opći dio'!$C$3,'Opći dio'!$L$6:$U$136,9,FALSE))</f>
        <v/>
      </c>
      <c r="C315" s="200" t="str">
        <f t="shared" si="24"/>
        <v/>
      </c>
      <c r="D315" s="139" t="str">
        <f t="shared" si="25"/>
        <v/>
      </c>
      <c r="E315" s="151"/>
      <c r="F315" s="204" t="str">
        <f t="shared" si="26"/>
        <v/>
      </c>
      <c r="G315" s="196"/>
      <c r="H315" s="196"/>
      <c r="I315" s="196"/>
      <c r="K315" s="142" t="str">
        <f t="shared" si="27"/>
        <v/>
      </c>
      <c r="L315" s="142" t="str">
        <f t="shared" si="28"/>
        <v/>
      </c>
    </row>
    <row r="316" spans="1:12">
      <c r="A316" s="140" t="str">
        <f>IF(E316="","",VLOOKUP('Opći dio'!$C$3,'Opći dio'!$L$6:$U$136,10,FALSE))</f>
        <v/>
      </c>
      <c r="B316" s="140" t="str">
        <f>IF(E316="","",VLOOKUP('Opći dio'!$C$3,'Opći dio'!$L$6:$U$136,9,FALSE))</f>
        <v/>
      </c>
      <c r="C316" s="200" t="str">
        <f t="shared" si="24"/>
        <v/>
      </c>
      <c r="D316" s="139" t="str">
        <f t="shared" si="25"/>
        <v/>
      </c>
      <c r="E316" s="151"/>
      <c r="F316" s="204" t="str">
        <f t="shared" si="26"/>
        <v/>
      </c>
      <c r="G316" s="196"/>
      <c r="H316" s="196"/>
      <c r="I316" s="196"/>
      <c r="K316" s="142" t="str">
        <f t="shared" si="27"/>
        <v/>
      </c>
      <c r="L316" s="142" t="str">
        <f t="shared" si="28"/>
        <v/>
      </c>
    </row>
    <row r="317" spans="1:12">
      <c r="A317" s="140" t="str">
        <f>IF(E317="","",VLOOKUP('Opći dio'!$C$3,'Opći dio'!$L$6:$U$136,10,FALSE))</f>
        <v/>
      </c>
      <c r="B317" s="140" t="str">
        <f>IF(E317="","",VLOOKUP('Opći dio'!$C$3,'Opći dio'!$L$6:$U$136,9,FALSE))</f>
        <v/>
      </c>
      <c r="C317" s="200" t="str">
        <f t="shared" si="24"/>
        <v/>
      </c>
      <c r="D317" s="139" t="str">
        <f t="shared" si="25"/>
        <v/>
      </c>
      <c r="E317" s="151"/>
      <c r="F317" s="204" t="str">
        <f t="shared" si="26"/>
        <v/>
      </c>
      <c r="G317" s="196"/>
      <c r="H317" s="196"/>
      <c r="I317" s="196"/>
      <c r="K317" s="142" t="str">
        <f t="shared" si="27"/>
        <v/>
      </c>
      <c r="L317" s="142" t="str">
        <f t="shared" si="28"/>
        <v/>
      </c>
    </row>
    <row r="318" spans="1:12">
      <c r="A318" s="140" t="str">
        <f>IF(E318="","",VLOOKUP('Opći dio'!$C$3,'Opći dio'!$L$6:$U$136,10,FALSE))</f>
        <v/>
      </c>
      <c r="B318" s="140" t="str">
        <f>IF(E318="","",VLOOKUP('Opći dio'!$C$3,'Opći dio'!$L$6:$U$136,9,FALSE))</f>
        <v/>
      </c>
      <c r="C318" s="200" t="str">
        <f t="shared" si="24"/>
        <v/>
      </c>
      <c r="D318" s="139" t="str">
        <f t="shared" si="25"/>
        <v/>
      </c>
      <c r="E318" s="151"/>
      <c r="F318" s="204" t="str">
        <f t="shared" si="26"/>
        <v/>
      </c>
      <c r="G318" s="196"/>
      <c r="H318" s="196"/>
      <c r="I318" s="196"/>
      <c r="K318" s="142" t="str">
        <f t="shared" si="27"/>
        <v/>
      </c>
      <c r="L318" s="142" t="str">
        <f t="shared" si="28"/>
        <v/>
      </c>
    </row>
    <row r="319" spans="1:12">
      <c r="A319" s="140" t="str">
        <f>IF(E319="","",VLOOKUP('Opći dio'!$C$3,'Opći dio'!$L$6:$U$136,10,FALSE))</f>
        <v/>
      </c>
      <c r="B319" s="140" t="str">
        <f>IF(E319="","",VLOOKUP('Opći dio'!$C$3,'Opći dio'!$L$6:$U$136,9,FALSE))</f>
        <v/>
      </c>
      <c r="C319" s="200" t="str">
        <f t="shared" si="24"/>
        <v/>
      </c>
      <c r="D319" s="139" t="str">
        <f t="shared" si="25"/>
        <v/>
      </c>
      <c r="E319" s="151"/>
      <c r="F319" s="204" t="str">
        <f t="shared" si="26"/>
        <v/>
      </c>
      <c r="G319" s="196"/>
      <c r="H319" s="196"/>
      <c r="I319" s="196"/>
      <c r="K319" s="142" t="str">
        <f t="shared" si="27"/>
        <v/>
      </c>
      <c r="L319" s="142" t="str">
        <f t="shared" si="28"/>
        <v/>
      </c>
    </row>
    <row r="320" spans="1:12">
      <c r="A320" s="140" t="str">
        <f>IF(E320="","",VLOOKUP('Opći dio'!$C$3,'Opći dio'!$L$6:$U$136,10,FALSE))</f>
        <v/>
      </c>
      <c r="B320" s="140" t="str">
        <f>IF(E320="","",VLOOKUP('Opći dio'!$C$3,'Opći dio'!$L$6:$U$136,9,FALSE))</f>
        <v/>
      </c>
      <c r="C320" s="200" t="str">
        <f t="shared" si="24"/>
        <v/>
      </c>
      <c r="D320" s="139" t="str">
        <f t="shared" si="25"/>
        <v/>
      </c>
      <c r="E320" s="151"/>
      <c r="F320" s="204" t="str">
        <f t="shared" si="26"/>
        <v/>
      </c>
      <c r="G320" s="196"/>
      <c r="H320" s="196"/>
      <c r="I320" s="196"/>
      <c r="K320" s="142" t="str">
        <f t="shared" si="27"/>
        <v/>
      </c>
      <c r="L320" s="142" t="str">
        <f t="shared" si="28"/>
        <v/>
      </c>
    </row>
    <row r="321" spans="1:12">
      <c r="A321" s="140" t="str">
        <f>IF(E321="","",VLOOKUP('Opći dio'!$C$3,'Opći dio'!$L$6:$U$136,10,FALSE))</f>
        <v/>
      </c>
      <c r="B321" s="140" t="str">
        <f>IF(E321="","",VLOOKUP('Opći dio'!$C$3,'Opći dio'!$L$6:$U$136,9,FALSE))</f>
        <v/>
      </c>
      <c r="C321" s="200" t="str">
        <f t="shared" si="24"/>
        <v/>
      </c>
      <c r="D321" s="139" t="str">
        <f t="shared" si="25"/>
        <v/>
      </c>
      <c r="E321" s="151"/>
      <c r="F321" s="204" t="str">
        <f t="shared" si="26"/>
        <v/>
      </c>
      <c r="G321" s="196"/>
      <c r="H321" s="196"/>
      <c r="I321" s="196"/>
      <c r="K321" s="142" t="str">
        <f t="shared" si="27"/>
        <v/>
      </c>
      <c r="L321" s="142" t="str">
        <f t="shared" si="28"/>
        <v/>
      </c>
    </row>
    <row r="322" spans="1:12">
      <c r="A322" s="140" t="str">
        <f>IF(E322="","",VLOOKUP('Opći dio'!$C$3,'Opći dio'!$L$6:$U$136,10,FALSE))</f>
        <v/>
      </c>
      <c r="B322" s="140" t="str">
        <f>IF(E322="","",VLOOKUP('Opći dio'!$C$3,'Opći dio'!$L$6:$U$136,9,FALSE))</f>
        <v/>
      </c>
      <c r="C322" s="200" t="str">
        <f t="shared" si="24"/>
        <v/>
      </c>
      <c r="D322" s="139" t="str">
        <f t="shared" si="25"/>
        <v/>
      </c>
      <c r="E322" s="151"/>
      <c r="F322" s="204" t="str">
        <f t="shared" si="26"/>
        <v/>
      </c>
      <c r="G322" s="196"/>
      <c r="H322" s="196"/>
      <c r="I322" s="196"/>
      <c r="K322" s="142" t="str">
        <f t="shared" si="27"/>
        <v/>
      </c>
      <c r="L322" s="142" t="str">
        <f t="shared" si="28"/>
        <v/>
      </c>
    </row>
    <row r="323" spans="1:12">
      <c r="A323" s="140" t="str">
        <f>IF(E323="","",VLOOKUP('Opći dio'!$C$3,'Opći dio'!$L$6:$U$136,10,FALSE))</f>
        <v/>
      </c>
      <c r="B323" s="140" t="str">
        <f>IF(E323="","",VLOOKUP('Opći dio'!$C$3,'Opći dio'!$L$6:$U$136,9,FALSE))</f>
        <v/>
      </c>
      <c r="C323" s="200" t="str">
        <f t="shared" si="24"/>
        <v/>
      </c>
      <c r="D323" s="139" t="str">
        <f t="shared" si="25"/>
        <v/>
      </c>
      <c r="E323" s="151"/>
      <c r="F323" s="204" t="str">
        <f t="shared" si="26"/>
        <v/>
      </c>
      <c r="G323" s="196"/>
      <c r="H323" s="196"/>
      <c r="I323" s="196"/>
      <c r="K323" s="142" t="str">
        <f t="shared" si="27"/>
        <v/>
      </c>
      <c r="L323" s="142" t="str">
        <f t="shared" si="28"/>
        <v/>
      </c>
    </row>
    <row r="324" spans="1:12">
      <c r="A324" s="140" t="str">
        <f>IF(E324="","",VLOOKUP('Opći dio'!$C$3,'Opći dio'!$L$6:$U$136,10,FALSE))</f>
        <v/>
      </c>
      <c r="B324" s="140" t="str">
        <f>IF(E324="","",VLOOKUP('Opći dio'!$C$3,'Opći dio'!$L$6:$U$136,9,FALSE))</f>
        <v/>
      </c>
      <c r="C324" s="200" t="str">
        <f t="shared" ref="C324:C387" si="29">IFERROR(VLOOKUP(E324,$Q$6:$T$90,3,FALSE),"")</f>
        <v/>
      </c>
      <c r="D324" s="139" t="str">
        <f t="shared" ref="D324:D387" si="30">IFERROR(VLOOKUP(E324,$Q$6:$T$90,4,FALSE),"")</f>
        <v/>
      </c>
      <c r="E324" s="151"/>
      <c r="F324" s="204" t="str">
        <f t="shared" ref="F324:F387" si="31">IFERROR(VLOOKUP(E324,$Q$6:$T$90,2,FALSE),"")</f>
        <v/>
      </c>
      <c r="G324" s="196"/>
      <c r="H324" s="196"/>
      <c r="I324" s="196"/>
      <c r="K324" s="142" t="str">
        <f t="shared" ref="K324:K387" si="32">LEFT(E324,3)</f>
        <v/>
      </c>
      <c r="L324" s="142" t="str">
        <f t="shared" ref="L324:L387" si="33">LEFT(E324,2)</f>
        <v/>
      </c>
    </row>
    <row r="325" spans="1:12">
      <c r="A325" s="140" t="str">
        <f>IF(E325="","",VLOOKUP('Opći dio'!$C$3,'Opći dio'!$L$6:$U$136,10,FALSE))</f>
        <v/>
      </c>
      <c r="B325" s="140" t="str">
        <f>IF(E325="","",VLOOKUP('Opći dio'!$C$3,'Opći dio'!$L$6:$U$136,9,FALSE))</f>
        <v/>
      </c>
      <c r="C325" s="200" t="str">
        <f t="shared" si="29"/>
        <v/>
      </c>
      <c r="D325" s="139" t="str">
        <f t="shared" si="30"/>
        <v/>
      </c>
      <c r="E325" s="151"/>
      <c r="F325" s="204" t="str">
        <f t="shared" si="31"/>
        <v/>
      </c>
      <c r="G325" s="196"/>
      <c r="H325" s="196"/>
      <c r="I325" s="196"/>
      <c r="K325" s="142" t="str">
        <f t="shared" si="32"/>
        <v/>
      </c>
      <c r="L325" s="142" t="str">
        <f t="shared" si="33"/>
        <v/>
      </c>
    </row>
    <row r="326" spans="1:12">
      <c r="A326" s="140" t="str">
        <f>IF(E326="","",VLOOKUP('Opći dio'!$C$3,'Opći dio'!$L$6:$U$136,10,FALSE))</f>
        <v/>
      </c>
      <c r="B326" s="140" t="str">
        <f>IF(E326="","",VLOOKUP('Opći dio'!$C$3,'Opći dio'!$L$6:$U$136,9,FALSE))</f>
        <v/>
      </c>
      <c r="C326" s="200" t="str">
        <f t="shared" si="29"/>
        <v/>
      </c>
      <c r="D326" s="139" t="str">
        <f t="shared" si="30"/>
        <v/>
      </c>
      <c r="E326" s="151"/>
      <c r="F326" s="204" t="str">
        <f t="shared" si="31"/>
        <v/>
      </c>
      <c r="G326" s="196"/>
      <c r="H326" s="196"/>
      <c r="I326" s="196"/>
      <c r="K326" s="142" t="str">
        <f t="shared" si="32"/>
        <v/>
      </c>
      <c r="L326" s="142" t="str">
        <f t="shared" si="33"/>
        <v/>
      </c>
    </row>
    <row r="327" spans="1:12">
      <c r="A327" s="140" t="str">
        <f>IF(E327="","",VLOOKUP('Opći dio'!$C$3,'Opći dio'!$L$6:$U$136,10,FALSE))</f>
        <v/>
      </c>
      <c r="B327" s="140" t="str">
        <f>IF(E327="","",VLOOKUP('Opći dio'!$C$3,'Opći dio'!$L$6:$U$136,9,FALSE))</f>
        <v/>
      </c>
      <c r="C327" s="200" t="str">
        <f t="shared" si="29"/>
        <v/>
      </c>
      <c r="D327" s="139" t="str">
        <f t="shared" si="30"/>
        <v/>
      </c>
      <c r="E327" s="151"/>
      <c r="F327" s="204" t="str">
        <f t="shared" si="31"/>
        <v/>
      </c>
      <c r="G327" s="196"/>
      <c r="H327" s="196"/>
      <c r="I327" s="196"/>
      <c r="K327" s="142" t="str">
        <f t="shared" si="32"/>
        <v/>
      </c>
      <c r="L327" s="142" t="str">
        <f t="shared" si="33"/>
        <v/>
      </c>
    </row>
    <row r="328" spans="1:12">
      <c r="A328" s="140" t="str">
        <f>IF(E328="","",VLOOKUP('Opći dio'!$C$3,'Opći dio'!$L$6:$U$136,10,FALSE))</f>
        <v/>
      </c>
      <c r="B328" s="140" t="str">
        <f>IF(E328="","",VLOOKUP('Opći dio'!$C$3,'Opći dio'!$L$6:$U$136,9,FALSE))</f>
        <v/>
      </c>
      <c r="C328" s="200" t="str">
        <f t="shared" si="29"/>
        <v/>
      </c>
      <c r="D328" s="139" t="str">
        <f t="shared" si="30"/>
        <v/>
      </c>
      <c r="E328" s="151"/>
      <c r="F328" s="204" t="str">
        <f t="shared" si="31"/>
        <v/>
      </c>
      <c r="G328" s="196"/>
      <c r="H328" s="196"/>
      <c r="I328" s="196"/>
      <c r="K328" s="142" t="str">
        <f t="shared" si="32"/>
        <v/>
      </c>
      <c r="L328" s="142" t="str">
        <f t="shared" si="33"/>
        <v/>
      </c>
    </row>
    <row r="329" spans="1:12">
      <c r="A329" s="140" t="str">
        <f>IF(E329="","",VLOOKUP('Opći dio'!$C$3,'Opći dio'!$L$6:$U$136,10,FALSE))</f>
        <v/>
      </c>
      <c r="B329" s="140" t="str">
        <f>IF(E329="","",VLOOKUP('Opći dio'!$C$3,'Opći dio'!$L$6:$U$136,9,FALSE))</f>
        <v/>
      </c>
      <c r="C329" s="200" t="str">
        <f t="shared" si="29"/>
        <v/>
      </c>
      <c r="D329" s="139" t="str">
        <f t="shared" si="30"/>
        <v/>
      </c>
      <c r="E329" s="151"/>
      <c r="F329" s="204" t="str">
        <f t="shared" si="31"/>
        <v/>
      </c>
      <c r="G329" s="196"/>
      <c r="H329" s="196"/>
      <c r="I329" s="196"/>
      <c r="K329" s="142" t="str">
        <f t="shared" si="32"/>
        <v/>
      </c>
      <c r="L329" s="142" t="str">
        <f t="shared" si="33"/>
        <v/>
      </c>
    </row>
    <row r="330" spans="1:12">
      <c r="A330" s="140" t="str">
        <f>IF(E330="","",VLOOKUP('Opći dio'!$C$3,'Opći dio'!$L$6:$U$136,10,FALSE))</f>
        <v/>
      </c>
      <c r="B330" s="140" t="str">
        <f>IF(E330="","",VLOOKUP('Opći dio'!$C$3,'Opći dio'!$L$6:$U$136,9,FALSE))</f>
        <v/>
      </c>
      <c r="C330" s="200" t="str">
        <f t="shared" si="29"/>
        <v/>
      </c>
      <c r="D330" s="139" t="str">
        <f t="shared" si="30"/>
        <v/>
      </c>
      <c r="E330" s="151"/>
      <c r="F330" s="204" t="str">
        <f t="shared" si="31"/>
        <v/>
      </c>
      <c r="G330" s="196"/>
      <c r="H330" s="196"/>
      <c r="I330" s="196"/>
      <c r="K330" s="142" t="str">
        <f t="shared" si="32"/>
        <v/>
      </c>
      <c r="L330" s="142" t="str">
        <f t="shared" si="33"/>
        <v/>
      </c>
    </row>
    <row r="331" spans="1:12">
      <c r="A331" s="140" t="str">
        <f>IF(E331="","",VLOOKUP('Opći dio'!$C$3,'Opći dio'!$L$6:$U$136,10,FALSE))</f>
        <v/>
      </c>
      <c r="B331" s="140" t="str">
        <f>IF(E331="","",VLOOKUP('Opći dio'!$C$3,'Opći dio'!$L$6:$U$136,9,FALSE))</f>
        <v/>
      </c>
      <c r="C331" s="200" t="str">
        <f t="shared" si="29"/>
        <v/>
      </c>
      <c r="D331" s="139" t="str">
        <f t="shared" si="30"/>
        <v/>
      </c>
      <c r="E331" s="151"/>
      <c r="F331" s="204" t="str">
        <f t="shared" si="31"/>
        <v/>
      </c>
      <c r="G331" s="196"/>
      <c r="H331" s="196"/>
      <c r="I331" s="196"/>
      <c r="K331" s="142" t="str">
        <f t="shared" si="32"/>
        <v/>
      </c>
      <c r="L331" s="142" t="str">
        <f t="shared" si="33"/>
        <v/>
      </c>
    </row>
    <row r="332" spans="1:12">
      <c r="A332" s="140" t="str">
        <f>IF(E332="","",VLOOKUP('Opći dio'!$C$3,'Opći dio'!$L$6:$U$136,10,FALSE))</f>
        <v/>
      </c>
      <c r="B332" s="140" t="str">
        <f>IF(E332="","",VLOOKUP('Opći dio'!$C$3,'Opći dio'!$L$6:$U$136,9,FALSE))</f>
        <v/>
      </c>
      <c r="C332" s="200" t="str">
        <f t="shared" si="29"/>
        <v/>
      </c>
      <c r="D332" s="139" t="str">
        <f t="shared" si="30"/>
        <v/>
      </c>
      <c r="E332" s="151"/>
      <c r="F332" s="204" t="str">
        <f t="shared" si="31"/>
        <v/>
      </c>
      <c r="G332" s="196"/>
      <c r="H332" s="196"/>
      <c r="I332" s="196"/>
      <c r="K332" s="142" t="str">
        <f t="shared" si="32"/>
        <v/>
      </c>
      <c r="L332" s="142" t="str">
        <f t="shared" si="33"/>
        <v/>
      </c>
    </row>
    <row r="333" spans="1:12">
      <c r="A333" s="140" t="str">
        <f>IF(E333="","",VLOOKUP('Opći dio'!$C$3,'Opći dio'!$L$6:$U$136,10,FALSE))</f>
        <v/>
      </c>
      <c r="B333" s="140" t="str">
        <f>IF(E333="","",VLOOKUP('Opći dio'!$C$3,'Opći dio'!$L$6:$U$136,9,FALSE))</f>
        <v/>
      </c>
      <c r="C333" s="200" t="str">
        <f t="shared" si="29"/>
        <v/>
      </c>
      <c r="D333" s="139" t="str">
        <f t="shared" si="30"/>
        <v/>
      </c>
      <c r="E333" s="151"/>
      <c r="F333" s="204" t="str">
        <f t="shared" si="31"/>
        <v/>
      </c>
      <c r="G333" s="196"/>
      <c r="H333" s="196"/>
      <c r="I333" s="196"/>
      <c r="K333" s="142" t="str">
        <f t="shared" si="32"/>
        <v/>
      </c>
      <c r="L333" s="142" t="str">
        <f t="shared" si="33"/>
        <v/>
      </c>
    </row>
    <row r="334" spans="1:12">
      <c r="A334" s="140" t="str">
        <f>IF(E334="","",VLOOKUP('Opći dio'!$C$3,'Opći dio'!$L$6:$U$136,10,FALSE))</f>
        <v/>
      </c>
      <c r="B334" s="140" t="str">
        <f>IF(E334="","",VLOOKUP('Opći dio'!$C$3,'Opći dio'!$L$6:$U$136,9,FALSE))</f>
        <v/>
      </c>
      <c r="C334" s="200" t="str">
        <f t="shared" si="29"/>
        <v/>
      </c>
      <c r="D334" s="139" t="str">
        <f t="shared" si="30"/>
        <v/>
      </c>
      <c r="E334" s="151"/>
      <c r="F334" s="204" t="str">
        <f t="shared" si="31"/>
        <v/>
      </c>
      <c r="G334" s="196"/>
      <c r="H334" s="196"/>
      <c r="I334" s="196"/>
      <c r="K334" s="142" t="str">
        <f t="shared" si="32"/>
        <v/>
      </c>
      <c r="L334" s="142" t="str">
        <f t="shared" si="33"/>
        <v/>
      </c>
    </row>
    <row r="335" spans="1:12">
      <c r="A335" s="140" t="str">
        <f>IF(E335="","",VLOOKUP('Opći dio'!$C$3,'Opći dio'!$L$6:$U$136,10,FALSE))</f>
        <v/>
      </c>
      <c r="B335" s="140" t="str">
        <f>IF(E335="","",VLOOKUP('Opći dio'!$C$3,'Opći dio'!$L$6:$U$136,9,FALSE))</f>
        <v/>
      </c>
      <c r="C335" s="200" t="str">
        <f t="shared" si="29"/>
        <v/>
      </c>
      <c r="D335" s="139" t="str">
        <f t="shared" si="30"/>
        <v/>
      </c>
      <c r="E335" s="151"/>
      <c r="F335" s="204" t="str">
        <f t="shared" si="31"/>
        <v/>
      </c>
      <c r="G335" s="196"/>
      <c r="H335" s="196"/>
      <c r="I335" s="196"/>
      <c r="K335" s="142" t="str">
        <f t="shared" si="32"/>
        <v/>
      </c>
      <c r="L335" s="142" t="str">
        <f t="shared" si="33"/>
        <v/>
      </c>
    </row>
    <row r="336" spans="1:12">
      <c r="A336" s="140" t="str">
        <f>IF(E336="","",VLOOKUP('Opći dio'!$C$3,'Opći dio'!$L$6:$U$136,10,FALSE))</f>
        <v/>
      </c>
      <c r="B336" s="140" t="str">
        <f>IF(E336="","",VLOOKUP('Opći dio'!$C$3,'Opći dio'!$L$6:$U$136,9,FALSE))</f>
        <v/>
      </c>
      <c r="C336" s="200" t="str">
        <f t="shared" si="29"/>
        <v/>
      </c>
      <c r="D336" s="139" t="str">
        <f t="shared" si="30"/>
        <v/>
      </c>
      <c r="E336" s="151"/>
      <c r="F336" s="204" t="str">
        <f t="shared" si="31"/>
        <v/>
      </c>
      <c r="G336" s="196"/>
      <c r="H336" s="196"/>
      <c r="I336" s="196"/>
      <c r="K336" s="142" t="str">
        <f t="shared" si="32"/>
        <v/>
      </c>
      <c r="L336" s="142" t="str">
        <f t="shared" si="33"/>
        <v/>
      </c>
    </row>
    <row r="337" spans="1:12">
      <c r="A337" s="140" t="str">
        <f>IF(E337="","",VLOOKUP('Opći dio'!$C$3,'Opći dio'!$L$6:$U$136,10,FALSE))</f>
        <v/>
      </c>
      <c r="B337" s="140" t="str">
        <f>IF(E337="","",VLOOKUP('Opći dio'!$C$3,'Opći dio'!$L$6:$U$136,9,FALSE))</f>
        <v/>
      </c>
      <c r="C337" s="200" t="str">
        <f t="shared" si="29"/>
        <v/>
      </c>
      <c r="D337" s="139" t="str">
        <f t="shared" si="30"/>
        <v/>
      </c>
      <c r="E337" s="151"/>
      <c r="F337" s="204" t="str">
        <f t="shared" si="31"/>
        <v/>
      </c>
      <c r="G337" s="196"/>
      <c r="H337" s="196"/>
      <c r="I337" s="196"/>
      <c r="K337" s="142" t="str">
        <f t="shared" si="32"/>
        <v/>
      </c>
      <c r="L337" s="142" t="str">
        <f t="shared" si="33"/>
        <v/>
      </c>
    </row>
    <row r="338" spans="1:12">
      <c r="A338" s="140" t="str">
        <f>IF(E338="","",VLOOKUP('Opći dio'!$C$3,'Opći dio'!$L$6:$U$136,10,FALSE))</f>
        <v/>
      </c>
      <c r="B338" s="140" t="str">
        <f>IF(E338="","",VLOOKUP('Opći dio'!$C$3,'Opći dio'!$L$6:$U$136,9,FALSE))</f>
        <v/>
      </c>
      <c r="C338" s="200" t="str">
        <f t="shared" si="29"/>
        <v/>
      </c>
      <c r="D338" s="139" t="str">
        <f t="shared" si="30"/>
        <v/>
      </c>
      <c r="E338" s="151"/>
      <c r="F338" s="204" t="str">
        <f t="shared" si="31"/>
        <v/>
      </c>
      <c r="G338" s="196"/>
      <c r="H338" s="196"/>
      <c r="I338" s="196"/>
      <c r="K338" s="142" t="str">
        <f t="shared" si="32"/>
        <v/>
      </c>
      <c r="L338" s="142" t="str">
        <f t="shared" si="33"/>
        <v/>
      </c>
    </row>
    <row r="339" spans="1:12">
      <c r="A339" s="140" t="str">
        <f>IF(E339="","",VLOOKUP('Opći dio'!$C$3,'Opći dio'!$L$6:$U$136,10,FALSE))</f>
        <v/>
      </c>
      <c r="B339" s="140" t="str">
        <f>IF(E339="","",VLOOKUP('Opći dio'!$C$3,'Opći dio'!$L$6:$U$136,9,FALSE))</f>
        <v/>
      </c>
      <c r="C339" s="200" t="str">
        <f t="shared" si="29"/>
        <v/>
      </c>
      <c r="D339" s="139" t="str">
        <f t="shared" si="30"/>
        <v/>
      </c>
      <c r="E339" s="151"/>
      <c r="F339" s="204" t="str">
        <f t="shared" si="31"/>
        <v/>
      </c>
      <c r="G339" s="196"/>
      <c r="H339" s="196"/>
      <c r="I339" s="196"/>
      <c r="K339" s="142" t="str">
        <f t="shared" si="32"/>
        <v/>
      </c>
      <c r="L339" s="142" t="str">
        <f t="shared" si="33"/>
        <v/>
      </c>
    </row>
    <row r="340" spans="1:12">
      <c r="A340" s="140" t="str">
        <f>IF(E340="","",VLOOKUP('Opći dio'!$C$3,'Opći dio'!$L$6:$U$136,10,FALSE))</f>
        <v/>
      </c>
      <c r="B340" s="140" t="str">
        <f>IF(E340="","",VLOOKUP('Opći dio'!$C$3,'Opći dio'!$L$6:$U$136,9,FALSE))</f>
        <v/>
      </c>
      <c r="C340" s="200" t="str">
        <f t="shared" si="29"/>
        <v/>
      </c>
      <c r="D340" s="139" t="str">
        <f t="shared" si="30"/>
        <v/>
      </c>
      <c r="E340" s="151"/>
      <c r="F340" s="204" t="str">
        <f t="shared" si="31"/>
        <v/>
      </c>
      <c r="G340" s="196"/>
      <c r="H340" s="196"/>
      <c r="I340" s="196"/>
      <c r="K340" s="142" t="str">
        <f t="shared" si="32"/>
        <v/>
      </c>
      <c r="L340" s="142" t="str">
        <f t="shared" si="33"/>
        <v/>
      </c>
    </row>
    <row r="341" spans="1:12">
      <c r="A341" s="140" t="str">
        <f>IF(E341="","",VLOOKUP('Opći dio'!$C$3,'Opći dio'!$L$6:$U$136,10,FALSE))</f>
        <v/>
      </c>
      <c r="B341" s="140" t="str">
        <f>IF(E341="","",VLOOKUP('Opći dio'!$C$3,'Opći dio'!$L$6:$U$136,9,FALSE))</f>
        <v/>
      </c>
      <c r="C341" s="200" t="str">
        <f t="shared" si="29"/>
        <v/>
      </c>
      <c r="D341" s="139" t="str">
        <f t="shared" si="30"/>
        <v/>
      </c>
      <c r="E341" s="151"/>
      <c r="F341" s="204" t="str">
        <f t="shared" si="31"/>
        <v/>
      </c>
      <c r="G341" s="196"/>
      <c r="H341" s="196"/>
      <c r="I341" s="196"/>
      <c r="K341" s="142" t="str">
        <f t="shared" si="32"/>
        <v/>
      </c>
      <c r="L341" s="142" t="str">
        <f t="shared" si="33"/>
        <v/>
      </c>
    </row>
    <row r="342" spans="1:12">
      <c r="A342" s="140" t="str">
        <f>IF(E342="","",VLOOKUP('Opći dio'!$C$3,'Opći dio'!$L$6:$U$136,10,FALSE))</f>
        <v/>
      </c>
      <c r="B342" s="140" t="str">
        <f>IF(E342="","",VLOOKUP('Opći dio'!$C$3,'Opći dio'!$L$6:$U$136,9,FALSE))</f>
        <v/>
      </c>
      <c r="C342" s="200" t="str">
        <f t="shared" si="29"/>
        <v/>
      </c>
      <c r="D342" s="139" t="str">
        <f t="shared" si="30"/>
        <v/>
      </c>
      <c r="E342" s="151"/>
      <c r="F342" s="204" t="str">
        <f t="shared" si="31"/>
        <v/>
      </c>
      <c r="G342" s="196"/>
      <c r="H342" s="196"/>
      <c r="I342" s="196"/>
      <c r="K342" s="142" t="str">
        <f t="shared" si="32"/>
        <v/>
      </c>
      <c r="L342" s="142" t="str">
        <f t="shared" si="33"/>
        <v/>
      </c>
    </row>
    <row r="343" spans="1:12">
      <c r="A343" s="140" t="str">
        <f>IF(E343="","",VLOOKUP('Opći dio'!$C$3,'Opći dio'!$L$6:$U$136,10,FALSE))</f>
        <v/>
      </c>
      <c r="B343" s="140" t="str">
        <f>IF(E343="","",VLOOKUP('Opći dio'!$C$3,'Opći dio'!$L$6:$U$136,9,FALSE))</f>
        <v/>
      </c>
      <c r="C343" s="200" t="str">
        <f t="shared" si="29"/>
        <v/>
      </c>
      <c r="D343" s="139" t="str">
        <f t="shared" si="30"/>
        <v/>
      </c>
      <c r="E343" s="151"/>
      <c r="F343" s="204" t="str">
        <f t="shared" si="31"/>
        <v/>
      </c>
      <c r="G343" s="196"/>
      <c r="H343" s="196"/>
      <c r="I343" s="196"/>
      <c r="K343" s="142" t="str">
        <f t="shared" si="32"/>
        <v/>
      </c>
      <c r="L343" s="142" t="str">
        <f t="shared" si="33"/>
        <v/>
      </c>
    </row>
    <row r="344" spans="1:12">
      <c r="A344" s="140" t="str">
        <f>IF(E344="","",VLOOKUP('Opći dio'!$C$3,'Opći dio'!$L$6:$U$136,10,FALSE))</f>
        <v/>
      </c>
      <c r="B344" s="140" t="str">
        <f>IF(E344="","",VLOOKUP('Opći dio'!$C$3,'Opći dio'!$L$6:$U$136,9,FALSE))</f>
        <v/>
      </c>
      <c r="C344" s="200" t="str">
        <f t="shared" si="29"/>
        <v/>
      </c>
      <c r="D344" s="139" t="str">
        <f t="shared" si="30"/>
        <v/>
      </c>
      <c r="E344" s="151"/>
      <c r="F344" s="204" t="str">
        <f t="shared" si="31"/>
        <v/>
      </c>
      <c r="G344" s="196"/>
      <c r="H344" s="196"/>
      <c r="I344" s="196"/>
      <c r="K344" s="142" t="str">
        <f t="shared" si="32"/>
        <v/>
      </c>
      <c r="L344" s="142" t="str">
        <f t="shared" si="33"/>
        <v/>
      </c>
    </row>
    <row r="345" spans="1:12">
      <c r="A345" s="140" t="str">
        <f>IF(E345="","",VLOOKUP('Opći dio'!$C$3,'Opći dio'!$L$6:$U$136,10,FALSE))</f>
        <v/>
      </c>
      <c r="B345" s="140" t="str">
        <f>IF(E345="","",VLOOKUP('Opći dio'!$C$3,'Opći dio'!$L$6:$U$136,9,FALSE))</f>
        <v/>
      </c>
      <c r="C345" s="200" t="str">
        <f t="shared" si="29"/>
        <v/>
      </c>
      <c r="D345" s="139" t="str">
        <f t="shared" si="30"/>
        <v/>
      </c>
      <c r="E345" s="151"/>
      <c r="F345" s="204" t="str">
        <f t="shared" si="31"/>
        <v/>
      </c>
      <c r="G345" s="196"/>
      <c r="H345" s="196"/>
      <c r="I345" s="196"/>
      <c r="K345" s="142" t="str">
        <f t="shared" si="32"/>
        <v/>
      </c>
      <c r="L345" s="142" t="str">
        <f t="shared" si="33"/>
        <v/>
      </c>
    </row>
    <row r="346" spans="1:12">
      <c r="A346" s="140" t="str">
        <f>IF(E346="","",VLOOKUP('Opći dio'!$C$3,'Opći dio'!$L$6:$U$136,10,FALSE))</f>
        <v/>
      </c>
      <c r="B346" s="140" t="str">
        <f>IF(E346="","",VLOOKUP('Opći dio'!$C$3,'Opći dio'!$L$6:$U$136,9,FALSE))</f>
        <v/>
      </c>
      <c r="C346" s="200" t="str">
        <f t="shared" si="29"/>
        <v/>
      </c>
      <c r="D346" s="139" t="str">
        <f t="shared" si="30"/>
        <v/>
      </c>
      <c r="E346" s="151"/>
      <c r="F346" s="204" t="str">
        <f t="shared" si="31"/>
        <v/>
      </c>
      <c r="G346" s="196"/>
      <c r="H346" s="196"/>
      <c r="I346" s="196"/>
      <c r="K346" s="142" t="str">
        <f t="shared" si="32"/>
        <v/>
      </c>
      <c r="L346" s="142" t="str">
        <f t="shared" si="33"/>
        <v/>
      </c>
    </row>
    <row r="347" spans="1:12">
      <c r="A347" s="140" t="str">
        <f>IF(E347="","",VLOOKUP('Opći dio'!$C$3,'Opći dio'!$L$6:$U$136,10,FALSE))</f>
        <v/>
      </c>
      <c r="B347" s="140" t="str">
        <f>IF(E347="","",VLOOKUP('Opći dio'!$C$3,'Opći dio'!$L$6:$U$136,9,FALSE))</f>
        <v/>
      </c>
      <c r="C347" s="200" t="str">
        <f t="shared" si="29"/>
        <v/>
      </c>
      <c r="D347" s="139" t="str">
        <f t="shared" si="30"/>
        <v/>
      </c>
      <c r="E347" s="151"/>
      <c r="F347" s="204" t="str">
        <f t="shared" si="31"/>
        <v/>
      </c>
      <c r="G347" s="196"/>
      <c r="H347" s="196"/>
      <c r="I347" s="196"/>
      <c r="K347" s="142" t="str">
        <f t="shared" si="32"/>
        <v/>
      </c>
      <c r="L347" s="142" t="str">
        <f t="shared" si="33"/>
        <v/>
      </c>
    </row>
    <row r="348" spans="1:12">
      <c r="A348" s="140" t="str">
        <f>IF(E348="","",VLOOKUP('Opći dio'!$C$3,'Opći dio'!$L$6:$U$136,10,FALSE))</f>
        <v/>
      </c>
      <c r="B348" s="140" t="str">
        <f>IF(E348="","",VLOOKUP('Opći dio'!$C$3,'Opći dio'!$L$6:$U$136,9,FALSE))</f>
        <v/>
      </c>
      <c r="C348" s="200" t="str">
        <f t="shared" si="29"/>
        <v/>
      </c>
      <c r="D348" s="139" t="str">
        <f t="shared" si="30"/>
        <v/>
      </c>
      <c r="E348" s="151"/>
      <c r="F348" s="204" t="str">
        <f t="shared" si="31"/>
        <v/>
      </c>
      <c r="G348" s="196"/>
      <c r="H348" s="196"/>
      <c r="I348" s="196"/>
      <c r="K348" s="142" t="str">
        <f t="shared" si="32"/>
        <v/>
      </c>
      <c r="L348" s="142" t="str">
        <f t="shared" si="33"/>
        <v/>
      </c>
    </row>
    <row r="349" spans="1:12">
      <c r="A349" s="140" t="str">
        <f>IF(E349="","",VLOOKUP('Opći dio'!$C$3,'Opći dio'!$L$6:$U$136,10,FALSE))</f>
        <v/>
      </c>
      <c r="B349" s="140" t="str">
        <f>IF(E349="","",VLOOKUP('Opći dio'!$C$3,'Opći dio'!$L$6:$U$136,9,FALSE))</f>
        <v/>
      </c>
      <c r="C349" s="200" t="str">
        <f t="shared" si="29"/>
        <v/>
      </c>
      <c r="D349" s="139" t="str">
        <f t="shared" si="30"/>
        <v/>
      </c>
      <c r="E349" s="151"/>
      <c r="F349" s="204" t="str">
        <f t="shared" si="31"/>
        <v/>
      </c>
      <c r="G349" s="196"/>
      <c r="H349" s="196"/>
      <c r="I349" s="196"/>
      <c r="K349" s="142" t="str">
        <f t="shared" si="32"/>
        <v/>
      </c>
      <c r="L349" s="142" t="str">
        <f t="shared" si="33"/>
        <v/>
      </c>
    </row>
    <row r="350" spans="1:12">
      <c r="A350" s="140" t="str">
        <f>IF(E350="","",VLOOKUP('Opći dio'!$C$3,'Opći dio'!$L$6:$U$136,10,FALSE))</f>
        <v/>
      </c>
      <c r="B350" s="140" t="str">
        <f>IF(E350="","",VLOOKUP('Opći dio'!$C$3,'Opći dio'!$L$6:$U$136,9,FALSE))</f>
        <v/>
      </c>
      <c r="C350" s="200" t="str">
        <f t="shared" si="29"/>
        <v/>
      </c>
      <c r="D350" s="139" t="str">
        <f t="shared" si="30"/>
        <v/>
      </c>
      <c r="E350" s="151"/>
      <c r="F350" s="204" t="str">
        <f t="shared" si="31"/>
        <v/>
      </c>
      <c r="G350" s="196"/>
      <c r="H350" s="196"/>
      <c r="I350" s="196"/>
      <c r="K350" s="142" t="str">
        <f t="shared" si="32"/>
        <v/>
      </c>
      <c r="L350" s="142" t="str">
        <f t="shared" si="33"/>
        <v/>
      </c>
    </row>
    <row r="351" spans="1:12">
      <c r="A351" s="140" t="str">
        <f>IF(E351="","",VLOOKUP('Opći dio'!$C$3,'Opći dio'!$L$6:$U$136,10,FALSE))</f>
        <v/>
      </c>
      <c r="B351" s="140" t="str">
        <f>IF(E351="","",VLOOKUP('Opći dio'!$C$3,'Opći dio'!$L$6:$U$136,9,FALSE))</f>
        <v/>
      </c>
      <c r="C351" s="200" t="str">
        <f t="shared" si="29"/>
        <v/>
      </c>
      <c r="D351" s="139" t="str">
        <f t="shared" si="30"/>
        <v/>
      </c>
      <c r="E351" s="151"/>
      <c r="F351" s="204" t="str">
        <f t="shared" si="31"/>
        <v/>
      </c>
      <c r="G351" s="196"/>
      <c r="H351" s="196"/>
      <c r="I351" s="196"/>
      <c r="K351" s="142" t="str">
        <f t="shared" si="32"/>
        <v/>
      </c>
      <c r="L351" s="142" t="str">
        <f t="shared" si="33"/>
        <v/>
      </c>
    </row>
    <row r="352" spans="1:12">
      <c r="A352" s="140" t="str">
        <f>IF(E352="","",VLOOKUP('Opći dio'!$C$3,'Opći dio'!$L$6:$U$136,10,FALSE))</f>
        <v/>
      </c>
      <c r="B352" s="140" t="str">
        <f>IF(E352="","",VLOOKUP('Opći dio'!$C$3,'Opći dio'!$L$6:$U$136,9,FALSE))</f>
        <v/>
      </c>
      <c r="C352" s="200" t="str">
        <f t="shared" si="29"/>
        <v/>
      </c>
      <c r="D352" s="139" t="str">
        <f t="shared" si="30"/>
        <v/>
      </c>
      <c r="E352" s="151"/>
      <c r="F352" s="204" t="str">
        <f t="shared" si="31"/>
        <v/>
      </c>
      <c r="G352" s="196"/>
      <c r="H352" s="196"/>
      <c r="I352" s="196"/>
      <c r="K352" s="142" t="str">
        <f t="shared" si="32"/>
        <v/>
      </c>
      <c r="L352" s="142" t="str">
        <f t="shared" si="33"/>
        <v/>
      </c>
    </row>
    <row r="353" spans="1:12">
      <c r="A353" s="140" t="str">
        <f>IF(E353="","",VLOOKUP('Opći dio'!$C$3,'Opći dio'!$L$6:$U$136,10,FALSE))</f>
        <v/>
      </c>
      <c r="B353" s="140" t="str">
        <f>IF(E353="","",VLOOKUP('Opći dio'!$C$3,'Opći dio'!$L$6:$U$136,9,FALSE))</f>
        <v/>
      </c>
      <c r="C353" s="200" t="str">
        <f t="shared" si="29"/>
        <v/>
      </c>
      <c r="D353" s="139" t="str">
        <f t="shared" si="30"/>
        <v/>
      </c>
      <c r="E353" s="151"/>
      <c r="F353" s="204" t="str">
        <f t="shared" si="31"/>
        <v/>
      </c>
      <c r="G353" s="196"/>
      <c r="H353" s="196"/>
      <c r="I353" s="196"/>
      <c r="K353" s="142" t="str">
        <f t="shared" si="32"/>
        <v/>
      </c>
      <c r="L353" s="142" t="str">
        <f t="shared" si="33"/>
        <v/>
      </c>
    </row>
    <row r="354" spans="1:12">
      <c r="A354" s="140" t="str">
        <f>IF(E354="","",VLOOKUP('Opći dio'!$C$3,'Opći dio'!$L$6:$U$136,10,FALSE))</f>
        <v/>
      </c>
      <c r="B354" s="140" t="str">
        <f>IF(E354="","",VLOOKUP('Opći dio'!$C$3,'Opći dio'!$L$6:$U$136,9,FALSE))</f>
        <v/>
      </c>
      <c r="C354" s="200" t="str">
        <f t="shared" si="29"/>
        <v/>
      </c>
      <c r="D354" s="139" t="str">
        <f t="shared" si="30"/>
        <v/>
      </c>
      <c r="E354" s="151"/>
      <c r="F354" s="204" t="str">
        <f t="shared" si="31"/>
        <v/>
      </c>
      <c r="G354" s="196"/>
      <c r="H354" s="196"/>
      <c r="I354" s="196"/>
      <c r="K354" s="142" t="str">
        <f t="shared" si="32"/>
        <v/>
      </c>
      <c r="L354" s="142" t="str">
        <f t="shared" si="33"/>
        <v/>
      </c>
    </row>
    <row r="355" spans="1:12">
      <c r="A355" s="140" t="str">
        <f>IF(E355="","",VLOOKUP('Opći dio'!$C$3,'Opći dio'!$L$6:$U$136,10,FALSE))</f>
        <v/>
      </c>
      <c r="B355" s="140" t="str">
        <f>IF(E355="","",VLOOKUP('Opći dio'!$C$3,'Opći dio'!$L$6:$U$136,9,FALSE))</f>
        <v/>
      </c>
      <c r="C355" s="200" t="str">
        <f t="shared" si="29"/>
        <v/>
      </c>
      <c r="D355" s="139" t="str">
        <f t="shared" si="30"/>
        <v/>
      </c>
      <c r="E355" s="151"/>
      <c r="F355" s="204" t="str">
        <f t="shared" si="31"/>
        <v/>
      </c>
      <c r="G355" s="196"/>
      <c r="H355" s="196"/>
      <c r="I355" s="196"/>
      <c r="K355" s="142" t="str">
        <f t="shared" si="32"/>
        <v/>
      </c>
      <c r="L355" s="142" t="str">
        <f t="shared" si="33"/>
        <v/>
      </c>
    </row>
    <row r="356" spans="1:12">
      <c r="A356" s="140" t="str">
        <f>IF(E356="","",VLOOKUP('Opći dio'!$C$3,'Opći dio'!$L$6:$U$136,10,FALSE))</f>
        <v/>
      </c>
      <c r="B356" s="140" t="str">
        <f>IF(E356="","",VLOOKUP('Opći dio'!$C$3,'Opći dio'!$L$6:$U$136,9,FALSE))</f>
        <v/>
      </c>
      <c r="C356" s="200" t="str">
        <f t="shared" si="29"/>
        <v/>
      </c>
      <c r="D356" s="139" t="str">
        <f t="shared" si="30"/>
        <v/>
      </c>
      <c r="E356" s="151"/>
      <c r="F356" s="204" t="str">
        <f t="shared" si="31"/>
        <v/>
      </c>
      <c r="G356" s="196"/>
      <c r="H356" s="196"/>
      <c r="I356" s="196"/>
      <c r="K356" s="142" t="str">
        <f t="shared" si="32"/>
        <v/>
      </c>
      <c r="L356" s="142" t="str">
        <f t="shared" si="33"/>
        <v/>
      </c>
    </row>
    <row r="357" spans="1:12">
      <c r="A357" s="140" t="str">
        <f>IF(E357="","",VLOOKUP('Opći dio'!$C$3,'Opći dio'!$L$6:$U$136,10,FALSE))</f>
        <v/>
      </c>
      <c r="B357" s="140" t="str">
        <f>IF(E357="","",VLOOKUP('Opći dio'!$C$3,'Opći dio'!$L$6:$U$136,9,FALSE))</f>
        <v/>
      </c>
      <c r="C357" s="200" t="str">
        <f t="shared" si="29"/>
        <v/>
      </c>
      <c r="D357" s="139" t="str">
        <f t="shared" si="30"/>
        <v/>
      </c>
      <c r="E357" s="151"/>
      <c r="F357" s="204" t="str">
        <f t="shared" si="31"/>
        <v/>
      </c>
      <c r="G357" s="196"/>
      <c r="H357" s="196"/>
      <c r="I357" s="196"/>
      <c r="K357" s="142" t="str">
        <f t="shared" si="32"/>
        <v/>
      </c>
      <c r="L357" s="142" t="str">
        <f t="shared" si="33"/>
        <v/>
      </c>
    </row>
    <row r="358" spans="1:12">
      <c r="A358" s="140" t="str">
        <f>IF(E358="","",VLOOKUP('Opći dio'!$C$3,'Opći dio'!$L$6:$U$136,10,FALSE))</f>
        <v/>
      </c>
      <c r="B358" s="140" t="str">
        <f>IF(E358="","",VLOOKUP('Opći dio'!$C$3,'Opći dio'!$L$6:$U$136,9,FALSE))</f>
        <v/>
      </c>
      <c r="C358" s="200" t="str">
        <f t="shared" si="29"/>
        <v/>
      </c>
      <c r="D358" s="139" t="str">
        <f t="shared" si="30"/>
        <v/>
      </c>
      <c r="E358" s="151"/>
      <c r="F358" s="204" t="str">
        <f t="shared" si="31"/>
        <v/>
      </c>
      <c r="G358" s="196"/>
      <c r="H358" s="196"/>
      <c r="I358" s="196"/>
      <c r="K358" s="142" t="str">
        <f t="shared" si="32"/>
        <v/>
      </c>
      <c r="L358" s="142" t="str">
        <f t="shared" si="33"/>
        <v/>
      </c>
    </row>
    <row r="359" spans="1:12">
      <c r="A359" s="140" t="str">
        <f>IF(E359="","",VLOOKUP('Opći dio'!$C$3,'Opći dio'!$L$6:$U$136,10,FALSE))</f>
        <v/>
      </c>
      <c r="B359" s="140" t="str">
        <f>IF(E359="","",VLOOKUP('Opći dio'!$C$3,'Opći dio'!$L$6:$U$136,9,FALSE))</f>
        <v/>
      </c>
      <c r="C359" s="200" t="str">
        <f t="shared" si="29"/>
        <v/>
      </c>
      <c r="D359" s="139" t="str">
        <f t="shared" si="30"/>
        <v/>
      </c>
      <c r="E359" s="151"/>
      <c r="F359" s="204" t="str">
        <f t="shared" si="31"/>
        <v/>
      </c>
      <c r="G359" s="196"/>
      <c r="H359" s="196"/>
      <c r="I359" s="196"/>
      <c r="K359" s="142" t="str">
        <f t="shared" si="32"/>
        <v/>
      </c>
      <c r="L359" s="142" t="str">
        <f t="shared" si="33"/>
        <v/>
      </c>
    </row>
    <row r="360" spans="1:12">
      <c r="A360" s="140" t="str">
        <f>IF(E360="","",VLOOKUP('Opći dio'!$C$3,'Opći dio'!$L$6:$U$136,10,FALSE))</f>
        <v/>
      </c>
      <c r="B360" s="140" t="str">
        <f>IF(E360="","",VLOOKUP('Opći dio'!$C$3,'Opći dio'!$L$6:$U$136,9,FALSE))</f>
        <v/>
      </c>
      <c r="C360" s="200" t="str">
        <f t="shared" si="29"/>
        <v/>
      </c>
      <c r="D360" s="139" t="str">
        <f t="shared" si="30"/>
        <v/>
      </c>
      <c r="E360" s="151"/>
      <c r="F360" s="204" t="str">
        <f t="shared" si="31"/>
        <v/>
      </c>
      <c r="G360" s="196"/>
      <c r="H360" s="196"/>
      <c r="I360" s="196"/>
      <c r="K360" s="142" t="str">
        <f t="shared" si="32"/>
        <v/>
      </c>
      <c r="L360" s="142" t="str">
        <f t="shared" si="33"/>
        <v/>
      </c>
    </row>
    <row r="361" spans="1:12">
      <c r="A361" s="140" t="str">
        <f>IF(E361="","",VLOOKUP('Opći dio'!$C$3,'Opći dio'!$L$6:$U$136,10,FALSE))</f>
        <v/>
      </c>
      <c r="B361" s="140" t="str">
        <f>IF(E361="","",VLOOKUP('Opći dio'!$C$3,'Opći dio'!$L$6:$U$136,9,FALSE))</f>
        <v/>
      </c>
      <c r="C361" s="200" t="str">
        <f t="shared" si="29"/>
        <v/>
      </c>
      <c r="D361" s="139" t="str">
        <f t="shared" si="30"/>
        <v/>
      </c>
      <c r="E361" s="151"/>
      <c r="F361" s="204" t="str">
        <f t="shared" si="31"/>
        <v/>
      </c>
      <c r="G361" s="196"/>
      <c r="H361" s="196"/>
      <c r="I361" s="196"/>
      <c r="K361" s="142" t="str">
        <f t="shared" si="32"/>
        <v/>
      </c>
      <c r="L361" s="142" t="str">
        <f t="shared" si="33"/>
        <v/>
      </c>
    </row>
    <row r="362" spans="1:12">
      <c r="A362" s="140" t="str">
        <f>IF(E362="","",VLOOKUP('Opći dio'!$C$3,'Opći dio'!$L$6:$U$136,10,FALSE))</f>
        <v/>
      </c>
      <c r="B362" s="140" t="str">
        <f>IF(E362="","",VLOOKUP('Opći dio'!$C$3,'Opći dio'!$L$6:$U$136,9,FALSE))</f>
        <v/>
      </c>
      <c r="C362" s="200" t="str">
        <f t="shared" si="29"/>
        <v/>
      </c>
      <c r="D362" s="139" t="str">
        <f t="shared" si="30"/>
        <v/>
      </c>
      <c r="E362" s="151"/>
      <c r="F362" s="204" t="str">
        <f t="shared" si="31"/>
        <v/>
      </c>
      <c r="G362" s="196"/>
      <c r="H362" s="196"/>
      <c r="I362" s="196"/>
      <c r="K362" s="142" t="str">
        <f t="shared" si="32"/>
        <v/>
      </c>
      <c r="L362" s="142" t="str">
        <f t="shared" si="33"/>
        <v/>
      </c>
    </row>
    <row r="363" spans="1:12">
      <c r="A363" s="140" t="str">
        <f>IF(E363="","",VLOOKUP('Opći dio'!$C$3,'Opći dio'!$L$6:$U$136,10,FALSE))</f>
        <v/>
      </c>
      <c r="B363" s="140" t="str">
        <f>IF(E363="","",VLOOKUP('Opći dio'!$C$3,'Opći dio'!$L$6:$U$136,9,FALSE))</f>
        <v/>
      </c>
      <c r="C363" s="200" t="str">
        <f t="shared" si="29"/>
        <v/>
      </c>
      <c r="D363" s="139" t="str">
        <f t="shared" si="30"/>
        <v/>
      </c>
      <c r="E363" s="151"/>
      <c r="F363" s="204" t="str">
        <f t="shared" si="31"/>
        <v/>
      </c>
      <c r="G363" s="196"/>
      <c r="H363" s="196"/>
      <c r="I363" s="196"/>
      <c r="K363" s="142" t="str">
        <f t="shared" si="32"/>
        <v/>
      </c>
      <c r="L363" s="142" t="str">
        <f t="shared" si="33"/>
        <v/>
      </c>
    </row>
    <row r="364" spans="1:12">
      <c r="A364" s="140" t="str">
        <f>IF(E364="","",VLOOKUP('Opći dio'!$C$3,'Opći dio'!$L$6:$U$136,10,FALSE))</f>
        <v/>
      </c>
      <c r="B364" s="140" t="str">
        <f>IF(E364="","",VLOOKUP('Opći dio'!$C$3,'Opći dio'!$L$6:$U$136,9,FALSE))</f>
        <v/>
      </c>
      <c r="C364" s="200" t="str">
        <f t="shared" si="29"/>
        <v/>
      </c>
      <c r="D364" s="139" t="str">
        <f t="shared" si="30"/>
        <v/>
      </c>
      <c r="E364" s="151"/>
      <c r="F364" s="204" t="str">
        <f t="shared" si="31"/>
        <v/>
      </c>
      <c r="G364" s="196"/>
      <c r="H364" s="196"/>
      <c r="I364" s="196"/>
      <c r="K364" s="142" t="str">
        <f t="shared" si="32"/>
        <v/>
      </c>
      <c r="L364" s="142" t="str">
        <f t="shared" si="33"/>
        <v/>
      </c>
    </row>
    <row r="365" spans="1:12">
      <c r="A365" s="140" t="str">
        <f>IF(E365="","",VLOOKUP('Opći dio'!$C$3,'Opći dio'!$L$6:$U$136,10,FALSE))</f>
        <v/>
      </c>
      <c r="B365" s="140" t="str">
        <f>IF(E365="","",VLOOKUP('Opći dio'!$C$3,'Opći dio'!$L$6:$U$136,9,FALSE))</f>
        <v/>
      </c>
      <c r="C365" s="200" t="str">
        <f t="shared" si="29"/>
        <v/>
      </c>
      <c r="D365" s="139" t="str">
        <f t="shared" si="30"/>
        <v/>
      </c>
      <c r="E365" s="151"/>
      <c r="F365" s="204" t="str">
        <f t="shared" si="31"/>
        <v/>
      </c>
      <c r="G365" s="196"/>
      <c r="H365" s="196"/>
      <c r="I365" s="196"/>
      <c r="K365" s="142" t="str">
        <f t="shared" si="32"/>
        <v/>
      </c>
      <c r="L365" s="142" t="str">
        <f t="shared" si="33"/>
        <v/>
      </c>
    </row>
    <row r="366" spans="1:12">
      <c r="A366" s="140" t="str">
        <f>IF(E366="","",VLOOKUP('Opći dio'!$C$3,'Opći dio'!$L$6:$U$136,10,FALSE))</f>
        <v/>
      </c>
      <c r="B366" s="140" t="str">
        <f>IF(E366="","",VLOOKUP('Opći dio'!$C$3,'Opći dio'!$L$6:$U$136,9,FALSE))</f>
        <v/>
      </c>
      <c r="C366" s="200" t="str">
        <f t="shared" si="29"/>
        <v/>
      </c>
      <c r="D366" s="139" t="str">
        <f t="shared" si="30"/>
        <v/>
      </c>
      <c r="E366" s="151"/>
      <c r="F366" s="204" t="str">
        <f t="shared" si="31"/>
        <v/>
      </c>
      <c r="G366" s="196"/>
      <c r="H366" s="196"/>
      <c r="I366" s="196"/>
      <c r="K366" s="142" t="str">
        <f t="shared" si="32"/>
        <v/>
      </c>
      <c r="L366" s="142" t="str">
        <f t="shared" si="33"/>
        <v/>
      </c>
    </row>
    <row r="367" spans="1:12">
      <c r="A367" s="140" t="str">
        <f>IF(E367="","",VLOOKUP('Opći dio'!$C$3,'Opći dio'!$L$6:$U$136,10,FALSE))</f>
        <v/>
      </c>
      <c r="B367" s="140" t="str">
        <f>IF(E367="","",VLOOKUP('Opći dio'!$C$3,'Opći dio'!$L$6:$U$136,9,FALSE))</f>
        <v/>
      </c>
      <c r="C367" s="200" t="str">
        <f t="shared" si="29"/>
        <v/>
      </c>
      <c r="D367" s="139" t="str">
        <f t="shared" si="30"/>
        <v/>
      </c>
      <c r="E367" s="151"/>
      <c r="F367" s="204" t="str">
        <f t="shared" si="31"/>
        <v/>
      </c>
      <c r="G367" s="196"/>
      <c r="H367" s="196"/>
      <c r="I367" s="196"/>
      <c r="K367" s="142" t="str">
        <f t="shared" si="32"/>
        <v/>
      </c>
      <c r="L367" s="142" t="str">
        <f t="shared" si="33"/>
        <v/>
      </c>
    </row>
    <row r="368" spans="1:12">
      <c r="A368" s="140" t="str">
        <f>IF(E368="","",VLOOKUP('Opći dio'!$C$3,'Opći dio'!$L$6:$U$136,10,FALSE))</f>
        <v/>
      </c>
      <c r="B368" s="140" t="str">
        <f>IF(E368="","",VLOOKUP('Opći dio'!$C$3,'Opći dio'!$L$6:$U$136,9,FALSE))</f>
        <v/>
      </c>
      <c r="C368" s="200" t="str">
        <f t="shared" si="29"/>
        <v/>
      </c>
      <c r="D368" s="139" t="str">
        <f t="shared" si="30"/>
        <v/>
      </c>
      <c r="E368" s="151"/>
      <c r="F368" s="204" t="str">
        <f t="shared" si="31"/>
        <v/>
      </c>
      <c r="G368" s="196"/>
      <c r="H368" s="196"/>
      <c r="I368" s="196"/>
      <c r="K368" s="142" t="str">
        <f t="shared" si="32"/>
        <v/>
      </c>
      <c r="L368" s="142" t="str">
        <f t="shared" si="33"/>
        <v/>
      </c>
    </row>
    <row r="369" spans="1:12">
      <c r="A369" s="140" t="str">
        <f>IF(E369="","",VLOOKUP('Opći dio'!$C$3,'Opći dio'!$L$6:$U$136,10,FALSE))</f>
        <v/>
      </c>
      <c r="B369" s="140" t="str">
        <f>IF(E369="","",VLOOKUP('Opći dio'!$C$3,'Opći dio'!$L$6:$U$136,9,FALSE))</f>
        <v/>
      </c>
      <c r="C369" s="200" t="str">
        <f t="shared" si="29"/>
        <v/>
      </c>
      <c r="D369" s="139" t="str">
        <f t="shared" si="30"/>
        <v/>
      </c>
      <c r="E369" s="151"/>
      <c r="F369" s="204" t="str">
        <f t="shared" si="31"/>
        <v/>
      </c>
      <c r="G369" s="196"/>
      <c r="H369" s="196"/>
      <c r="I369" s="196"/>
      <c r="K369" s="142" t="str">
        <f t="shared" si="32"/>
        <v/>
      </c>
      <c r="L369" s="142" t="str">
        <f t="shared" si="33"/>
        <v/>
      </c>
    </row>
    <row r="370" spans="1:12">
      <c r="A370" s="140" t="str">
        <f>IF(E370="","",VLOOKUP('Opći dio'!$C$3,'Opći dio'!$L$6:$U$136,10,FALSE))</f>
        <v/>
      </c>
      <c r="B370" s="140" t="str">
        <f>IF(E370="","",VLOOKUP('Opći dio'!$C$3,'Opći dio'!$L$6:$U$136,9,FALSE))</f>
        <v/>
      </c>
      <c r="C370" s="200" t="str">
        <f t="shared" si="29"/>
        <v/>
      </c>
      <c r="D370" s="139" t="str">
        <f t="shared" si="30"/>
        <v/>
      </c>
      <c r="E370" s="151"/>
      <c r="F370" s="204" t="str">
        <f t="shared" si="31"/>
        <v/>
      </c>
      <c r="G370" s="196"/>
      <c r="H370" s="196"/>
      <c r="I370" s="196"/>
      <c r="K370" s="142" t="str">
        <f t="shared" si="32"/>
        <v/>
      </c>
      <c r="L370" s="142" t="str">
        <f t="shared" si="33"/>
        <v/>
      </c>
    </row>
    <row r="371" spans="1:12">
      <c r="A371" s="140" t="str">
        <f>IF(E371="","",VLOOKUP('Opći dio'!$C$3,'Opći dio'!$L$6:$U$136,10,FALSE))</f>
        <v/>
      </c>
      <c r="B371" s="140" t="str">
        <f>IF(E371="","",VLOOKUP('Opći dio'!$C$3,'Opći dio'!$L$6:$U$136,9,FALSE))</f>
        <v/>
      </c>
      <c r="C371" s="200" t="str">
        <f t="shared" si="29"/>
        <v/>
      </c>
      <c r="D371" s="139" t="str">
        <f t="shared" si="30"/>
        <v/>
      </c>
      <c r="E371" s="151"/>
      <c r="F371" s="204" t="str">
        <f t="shared" si="31"/>
        <v/>
      </c>
      <c r="G371" s="196"/>
      <c r="H371" s="196"/>
      <c r="I371" s="196"/>
      <c r="K371" s="142" t="str">
        <f t="shared" si="32"/>
        <v/>
      </c>
      <c r="L371" s="142" t="str">
        <f t="shared" si="33"/>
        <v/>
      </c>
    </row>
    <row r="372" spans="1:12">
      <c r="A372" s="140" t="str">
        <f>IF(E372="","",VLOOKUP('Opći dio'!$C$3,'Opći dio'!$L$6:$U$136,10,FALSE))</f>
        <v/>
      </c>
      <c r="B372" s="140" t="str">
        <f>IF(E372="","",VLOOKUP('Opći dio'!$C$3,'Opći dio'!$L$6:$U$136,9,FALSE))</f>
        <v/>
      </c>
      <c r="C372" s="200" t="str">
        <f t="shared" si="29"/>
        <v/>
      </c>
      <c r="D372" s="139" t="str">
        <f t="shared" si="30"/>
        <v/>
      </c>
      <c r="E372" s="151"/>
      <c r="F372" s="204" t="str">
        <f t="shared" si="31"/>
        <v/>
      </c>
      <c r="G372" s="196"/>
      <c r="H372" s="196"/>
      <c r="I372" s="196"/>
      <c r="K372" s="142" t="str">
        <f t="shared" si="32"/>
        <v/>
      </c>
      <c r="L372" s="142" t="str">
        <f t="shared" si="33"/>
        <v/>
      </c>
    </row>
    <row r="373" spans="1:12">
      <c r="A373" s="140" t="str">
        <f>IF(E373="","",VLOOKUP('Opći dio'!$C$3,'Opći dio'!$L$6:$U$136,10,FALSE))</f>
        <v/>
      </c>
      <c r="B373" s="140" t="str">
        <f>IF(E373="","",VLOOKUP('Opći dio'!$C$3,'Opći dio'!$L$6:$U$136,9,FALSE))</f>
        <v/>
      </c>
      <c r="C373" s="200" t="str">
        <f t="shared" si="29"/>
        <v/>
      </c>
      <c r="D373" s="139" t="str">
        <f t="shared" si="30"/>
        <v/>
      </c>
      <c r="E373" s="151"/>
      <c r="F373" s="204" t="str">
        <f t="shared" si="31"/>
        <v/>
      </c>
      <c r="G373" s="196"/>
      <c r="H373" s="196"/>
      <c r="I373" s="196"/>
      <c r="K373" s="142" t="str">
        <f t="shared" si="32"/>
        <v/>
      </c>
      <c r="L373" s="142" t="str">
        <f t="shared" si="33"/>
        <v/>
      </c>
    </row>
    <row r="374" spans="1:12">
      <c r="A374" s="140" t="str">
        <f>IF(E374="","",VLOOKUP('Opći dio'!$C$3,'Opći dio'!$L$6:$U$136,10,FALSE))</f>
        <v/>
      </c>
      <c r="B374" s="140" t="str">
        <f>IF(E374="","",VLOOKUP('Opći dio'!$C$3,'Opći dio'!$L$6:$U$136,9,FALSE))</f>
        <v/>
      </c>
      <c r="C374" s="200" t="str">
        <f t="shared" si="29"/>
        <v/>
      </c>
      <c r="D374" s="139" t="str">
        <f t="shared" si="30"/>
        <v/>
      </c>
      <c r="E374" s="151"/>
      <c r="F374" s="204" t="str">
        <f t="shared" si="31"/>
        <v/>
      </c>
      <c r="G374" s="196"/>
      <c r="H374" s="196"/>
      <c r="I374" s="196"/>
      <c r="K374" s="142" t="str">
        <f t="shared" si="32"/>
        <v/>
      </c>
      <c r="L374" s="142" t="str">
        <f t="shared" si="33"/>
        <v/>
      </c>
    </row>
    <row r="375" spans="1:12">
      <c r="A375" s="140" t="str">
        <f>IF(E375="","",VLOOKUP('Opći dio'!$C$3,'Opći dio'!$L$6:$U$136,10,FALSE))</f>
        <v/>
      </c>
      <c r="B375" s="140" t="str">
        <f>IF(E375="","",VLOOKUP('Opći dio'!$C$3,'Opći dio'!$L$6:$U$136,9,FALSE))</f>
        <v/>
      </c>
      <c r="C375" s="200" t="str">
        <f t="shared" si="29"/>
        <v/>
      </c>
      <c r="D375" s="139" t="str">
        <f t="shared" si="30"/>
        <v/>
      </c>
      <c r="E375" s="151"/>
      <c r="F375" s="204" t="str">
        <f t="shared" si="31"/>
        <v/>
      </c>
      <c r="G375" s="196"/>
      <c r="H375" s="196"/>
      <c r="I375" s="196"/>
      <c r="K375" s="142" t="str">
        <f t="shared" si="32"/>
        <v/>
      </c>
      <c r="L375" s="142" t="str">
        <f t="shared" si="33"/>
        <v/>
      </c>
    </row>
    <row r="376" spans="1:12">
      <c r="A376" s="140" t="str">
        <f>IF(E376="","",VLOOKUP('Opći dio'!$C$3,'Opći dio'!$L$6:$U$136,10,FALSE))</f>
        <v/>
      </c>
      <c r="B376" s="140" t="str">
        <f>IF(E376="","",VLOOKUP('Opći dio'!$C$3,'Opći dio'!$L$6:$U$136,9,FALSE))</f>
        <v/>
      </c>
      <c r="C376" s="200" t="str">
        <f t="shared" si="29"/>
        <v/>
      </c>
      <c r="D376" s="139" t="str">
        <f t="shared" si="30"/>
        <v/>
      </c>
      <c r="E376" s="151"/>
      <c r="F376" s="204" t="str">
        <f t="shared" si="31"/>
        <v/>
      </c>
      <c r="G376" s="196"/>
      <c r="H376" s="196"/>
      <c r="I376" s="196"/>
      <c r="K376" s="142" t="str">
        <f t="shared" si="32"/>
        <v/>
      </c>
      <c r="L376" s="142" t="str">
        <f t="shared" si="33"/>
        <v/>
      </c>
    </row>
    <row r="377" spans="1:12">
      <c r="A377" s="140" t="str">
        <f>IF(E377="","",VLOOKUP('Opći dio'!$C$3,'Opći dio'!$L$6:$U$136,10,FALSE))</f>
        <v/>
      </c>
      <c r="B377" s="140" t="str">
        <f>IF(E377="","",VLOOKUP('Opći dio'!$C$3,'Opći dio'!$L$6:$U$136,9,FALSE))</f>
        <v/>
      </c>
      <c r="C377" s="200" t="str">
        <f t="shared" si="29"/>
        <v/>
      </c>
      <c r="D377" s="139" t="str">
        <f t="shared" si="30"/>
        <v/>
      </c>
      <c r="E377" s="151"/>
      <c r="F377" s="204" t="str">
        <f t="shared" si="31"/>
        <v/>
      </c>
      <c r="G377" s="196"/>
      <c r="H377" s="196"/>
      <c r="I377" s="196"/>
      <c r="K377" s="142" t="str">
        <f t="shared" si="32"/>
        <v/>
      </c>
      <c r="L377" s="142" t="str">
        <f t="shared" si="33"/>
        <v/>
      </c>
    </row>
    <row r="378" spans="1:12">
      <c r="A378" s="140" t="str">
        <f>IF(E378="","",VLOOKUP('Opći dio'!$C$3,'Opći dio'!$L$6:$U$136,10,FALSE))</f>
        <v/>
      </c>
      <c r="B378" s="140" t="str">
        <f>IF(E378="","",VLOOKUP('Opći dio'!$C$3,'Opći dio'!$L$6:$U$136,9,FALSE))</f>
        <v/>
      </c>
      <c r="C378" s="200" t="str">
        <f t="shared" si="29"/>
        <v/>
      </c>
      <c r="D378" s="139" t="str">
        <f t="shared" si="30"/>
        <v/>
      </c>
      <c r="E378" s="151"/>
      <c r="F378" s="204" t="str">
        <f t="shared" si="31"/>
        <v/>
      </c>
      <c r="G378" s="196"/>
      <c r="H378" s="196"/>
      <c r="I378" s="196"/>
      <c r="K378" s="142" t="str">
        <f t="shared" si="32"/>
        <v/>
      </c>
      <c r="L378" s="142" t="str">
        <f t="shared" si="33"/>
        <v/>
      </c>
    </row>
    <row r="379" spans="1:12">
      <c r="A379" s="140" t="str">
        <f>IF(E379="","",VLOOKUP('Opći dio'!$C$3,'Opći dio'!$L$6:$U$136,10,FALSE))</f>
        <v/>
      </c>
      <c r="B379" s="140" t="str">
        <f>IF(E379="","",VLOOKUP('Opći dio'!$C$3,'Opći dio'!$L$6:$U$136,9,FALSE))</f>
        <v/>
      </c>
      <c r="C379" s="200" t="str">
        <f t="shared" si="29"/>
        <v/>
      </c>
      <c r="D379" s="139" t="str">
        <f t="shared" si="30"/>
        <v/>
      </c>
      <c r="E379" s="151"/>
      <c r="F379" s="204" t="str">
        <f t="shared" si="31"/>
        <v/>
      </c>
      <c r="G379" s="196"/>
      <c r="H379" s="196"/>
      <c r="I379" s="196"/>
      <c r="K379" s="142" t="str">
        <f t="shared" si="32"/>
        <v/>
      </c>
      <c r="L379" s="142" t="str">
        <f t="shared" si="33"/>
        <v/>
      </c>
    </row>
    <row r="380" spans="1:12">
      <c r="A380" s="140" t="str">
        <f>IF(E380="","",VLOOKUP('Opći dio'!$C$3,'Opći dio'!$L$6:$U$136,10,FALSE))</f>
        <v/>
      </c>
      <c r="B380" s="140" t="str">
        <f>IF(E380="","",VLOOKUP('Opći dio'!$C$3,'Opći dio'!$L$6:$U$136,9,FALSE))</f>
        <v/>
      </c>
      <c r="C380" s="200" t="str">
        <f t="shared" si="29"/>
        <v/>
      </c>
      <c r="D380" s="139" t="str">
        <f t="shared" si="30"/>
        <v/>
      </c>
      <c r="E380" s="151"/>
      <c r="F380" s="204" t="str">
        <f t="shared" si="31"/>
        <v/>
      </c>
      <c r="G380" s="196"/>
      <c r="H380" s="196"/>
      <c r="I380" s="196"/>
      <c r="K380" s="142" t="str">
        <f t="shared" si="32"/>
        <v/>
      </c>
      <c r="L380" s="142" t="str">
        <f t="shared" si="33"/>
        <v/>
      </c>
    </row>
    <row r="381" spans="1:12">
      <c r="A381" s="140" t="str">
        <f>IF(E381="","",VLOOKUP('Opći dio'!$C$3,'Opći dio'!$L$6:$U$136,10,FALSE))</f>
        <v/>
      </c>
      <c r="B381" s="140" t="str">
        <f>IF(E381="","",VLOOKUP('Opći dio'!$C$3,'Opći dio'!$L$6:$U$136,9,FALSE))</f>
        <v/>
      </c>
      <c r="C381" s="200" t="str">
        <f t="shared" si="29"/>
        <v/>
      </c>
      <c r="D381" s="139" t="str">
        <f t="shared" si="30"/>
        <v/>
      </c>
      <c r="E381" s="151"/>
      <c r="F381" s="204" t="str">
        <f t="shared" si="31"/>
        <v/>
      </c>
      <c r="G381" s="196"/>
      <c r="H381" s="196"/>
      <c r="I381" s="196"/>
      <c r="K381" s="142" t="str">
        <f t="shared" si="32"/>
        <v/>
      </c>
      <c r="L381" s="142" t="str">
        <f t="shared" si="33"/>
        <v/>
      </c>
    </row>
    <row r="382" spans="1:12">
      <c r="A382" s="140" t="str">
        <f>IF(E382="","",VLOOKUP('Opći dio'!$C$3,'Opći dio'!$L$6:$U$136,10,FALSE))</f>
        <v/>
      </c>
      <c r="B382" s="140" t="str">
        <f>IF(E382="","",VLOOKUP('Opći dio'!$C$3,'Opći dio'!$L$6:$U$136,9,FALSE))</f>
        <v/>
      </c>
      <c r="C382" s="200" t="str">
        <f t="shared" si="29"/>
        <v/>
      </c>
      <c r="D382" s="139" t="str">
        <f t="shared" si="30"/>
        <v/>
      </c>
      <c r="E382" s="151"/>
      <c r="F382" s="204" t="str">
        <f t="shared" si="31"/>
        <v/>
      </c>
      <c r="G382" s="196"/>
      <c r="H382" s="196"/>
      <c r="I382" s="196"/>
      <c r="K382" s="142" t="str">
        <f t="shared" si="32"/>
        <v/>
      </c>
      <c r="L382" s="142" t="str">
        <f t="shared" si="33"/>
        <v/>
      </c>
    </row>
    <row r="383" spans="1:12">
      <c r="A383" s="140" t="str">
        <f>IF(E383="","",VLOOKUP('Opći dio'!$C$3,'Opći dio'!$L$6:$U$136,10,FALSE))</f>
        <v/>
      </c>
      <c r="B383" s="140" t="str">
        <f>IF(E383="","",VLOOKUP('Opći dio'!$C$3,'Opći dio'!$L$6:$U$136,9,FALSE))</f>
        <v/>
      </c>
      <c r="C383" s="200" t="str">
        <f t="shared" si="29"/>
        <v/>
      </c>
      <c r="D383" s="139" t="str">
        <f t="shared" si="30"/>
        <v/>
      </c>
      <c r="E383" s="151"/>
      <c r="F383" s="204" t="str">
        <f t="shared" si="31"/>
        <v/>
      </c>
      <c r="G383" s="196"/>
      <c r="H383" s="196"/>
      <c r="I383" s="196"/>
      <c r="K383" s="142" t="str">
        <f t="shared" si="32"/>
        <v/>
      </c>
      <c r="L383" s="142" t="str">
        <f t="shared" si="33"/>
        <v/>
      </c>
    </row>
    <row r="384" spans="1:12">
      <c r="A384" s="140" t="str">
        <f>IF(E384="","",VLOOKUP('Opći dio'!$C$3,'Opći dio'!$L$6:$U$136,10,FALSE))</f>
        <v/>
      </c>
      <c r="B384" s="140" t="str">
        <f>IF(E384="","",VLOOKUP('Opći dio'!$C$3,'Opći dio'!$L$6:$U$136,9,FALSE))</f>
        <v/>
      </c>
      <c r="C384" s="200" t="str">
        <f t="shared" si="29"/>
        <v/>
      </c>
      <c r="D384" s="139" t="str">
        <f t="shared" si="30"/>
        <v/>
      </c>
      <c r="E384" s="151"/>
      <c r="F384" s="204" t="str">
        <f t="shared" si="31"/>
        <v/>
      </c>
      <c r="G384" s="196"/>
      <c r="H384" s="196"/>
      <c r="I384" s="196"/>
      <c r="K384" s="142" t="str">
        <f t="shared" si="32"/>
        <v/>
      </c>
      <c r="L384" s="142" t="str">
        <f t="shared" si="33"/>
        <v/>
      </c>
    </row>
    <row r="385" spans="1:12">
      <c r="A385" s="140" t="str">
        <f>IF(E385="","",VLOOKUP('Opći dio'!$C$3,'Opći dio'!$L$6:$U$136,10,FALSE))</f>
        <v/>
      </c>
      <c r="B385" s="140" t="str">
        <f>IF(E385="","",VLOOKUP('Opći dio'!$C$3,'Opći dio'!$L$6:$U$136,9,FALSE))</f>
        <v/>
      </c>
      <c r="C385" s="200" t="str">
        <f t="shared" si="29"/>
        <v/>
      </c>
      <c r="D385" s="139" t="str">
        <f t="shared" si="30"/>
        <v/>
      </c>
      <c r="E385" s="151"/>
      <c r="F385" s="204" t="str">
        <f t="shared" si="31"/>
        <v/>
      </c>
      <c r="G385" s="196"/>
      <c r="H385" s="196"/>
      <c r="I385" s="196"/>
      <c r="K385" s="142" t="str">
        <f t="shared" si="32"/>
        <v/>
      </c>
      <c r="L385" s="142" t="str">
        <f t="shared" si="33"/>
        <v/>
      </c>
    </row>
    <row r="386" spans="1:12">
      <c r="A386" s="140" t="str">
        <f>IF(E386="","",VLOOKUP('Opći dio'!$C$3,'Opći dio'!$L$6:$U$136,10,FALSE))</f>
        <v/>
      </c>
      <c r="B386" s="140" t="str">
        <f>IF(E386="","",VLOOKUP('Opći dio'!$C$3,'Opći dio'!$L$6:$U$136,9,FALSE))</f>
        <v/>
      </c>
      <c r="C386" s="200" t="str">
        <f t="shared" si="29"/>
        <v/>
      </c>
      <c r="D386" s="139" t="str">
        <f t="shared" si="30"/>
        <v/>
      </c>
      <c r="E386" s="151"/>
      <c r="F386" s="204" t="str">
        <f t="shared" si="31"/>
        <v/>
      </c>
      <c r="G386" s="196"/>
      <c r="H386" s="196"/>
      <c r="I386" s="196"/>
      <c r="K386" s="142" t="str">
        <f t="shared" si="32"/>
        <v/>
      </c>
      <c r="L386" s="142" t="str">
        <f t="shared" si="33"/>
        <v/>
      </c>
    </row>
    <row r="387" spans="1:12">
      <c r="A387" s="140" t="str">
        <f>IF(E387="","",VLOOKUP('Opći dio'!$C$3,'Opći dio'!$L$6:$U$136,10,FALSE))</f>
        <v/>
      </c>
      <c r="B387" s="140" t="str">
        <f>IF(E387="","",VLOOKUP('Opći dio'!$C$3,'Opći dio'!$L$6:$U$136,9,FALSE))</f>
        <v/>
      </c>
      <c r="C387" s="200" t="str">
        <f t="shared" si="29"/>
        <v/>
      </c>
      <c r="D387" s="139" t="str">
        <f t="shared" si="30"/>
        <v/>
      </c>
      <c r="E387" s="151"/>
      <c r="F387" s="204" t="str">
        <f t="shared" si="31"/>
        <v/>
      </c>
      <c r="G387" s="196"/>
      <c r="H387" s="196"/>
      <c r="I387" s="196"/>
      <c r="K387" s="142" t="str">
        <f t="shared" si="32"/>
        <v/>
      </c>
      <c r="L387" s="142" t="str">
        <f t="shared" si="33"/>
        <v/>
      </c>
    </row>
    <row r="388" spans="1:12">
      <c r="A388" s="140" t="str">
        <f>IF(E388="","",VLOOKUP('Opći dio'!$C$3,'Opći dio'!$L$6:$U$136,10,FALSE))</f>
        <v/>
      </c>
      <c r="B388" s="140" t="str">
        <f>IF(E388="","",VLOOKUP('Opći dio'!$C$3,'Opći dio'!$L$6:$U$136,9,FALSE))</f>
        <v/>
      </c>
      <c r="C388" s="200" t="str">
        <f t="shared" ref="C388:C451" si="34">IFERROR(VLOOKUP(E388,$Q$6:$T$90,3,FALSE),"")</f>
        <v/>
      </c>
      <c r="D388" s="139" t="str">
        <f t="shared" ref="D388:D451" si="35">IFERROR(VLOOKUP(E388,$Q$6:$T$90,4,FALSE),"")</f>
        <v/>
      </c>
      <c r="E388" s="151"/>
      <c r="F388" s="204" t="str">
        <f t="shared" ref="F388:F451" si="36">IFERROR(VLOOKUP(E388,$Q$6:$T$90,2,FALSE),"")</f>
        <v/>
      </c>
      <c r="G388" s="196"/>
      <c r="H388" s="196"/>
      <c r="I388" s="196"/>
      <c r="K388" s="142" t="str">
        <f t="shared" ref="K388:K451" si="37">LEFT(E388,3)</f>
        <v/>
      </c>
      <c r="L388" s="142" t="str">
        <f t="shared" ref="L388:L451" si="38">LEFT(E388,2)</f>
        <v/>
      </c>
    </row>
    <row r="389" spans="1:12">
      <c r="A389" s="140" t="str">
        <f>IF(E389="","",VLOOKUP('Opći dio'!$C$3,'Opći dio'!$L$6:$U$136,10,FALSE))</f>
        <v/>
      </c>
      <c r="B389" s="140" t="str">
        <f>IF(E389="","",VLOOKUP('Opći dio'!$C$3,'Opći dio'!$L$6:$U$136,9,FALSE))</f>
        <v/>
      </c>
      <c r="C389" s="200" t="str">
        <f t="shared" si="34"/>
        <v/>
      </c>
      <c r="D389" s="139" t="str">
        <f t="shared" si="35"/>
        <v/>
      </c>
      <c r="E389" s="151"/>
      <c r="F389" s="204" t="str">
        <f t="shared" si="36"/>
        <v/>
      </c>
      <c r="G389" s="196"/>
      <c r="H389" s="196"/>
      <c r="I389" s="196"/>
      <c r="K389" s="142" t="str">
        <f t="shared" si="37"/>
        <v/>
      </c>
      <c r="L389" s="142" t="str">
        <f t="shared" si="38"/>
        <v/>
      </c>
    </row>
    <row r="390" spans="1:12">
      <c r="A390" s="140" t="str">
        <f>IF(E390="","",VLOOKUP('Opći dio'!$C$3,'Opći dio'!$L$6:$U$136,10,FALSE))</f>
        <v/>
      </c>
      <c r="B390" s="140" t="str">
        <f>IF(E390="","",VLOOKUP('Opći dio'!$C$3,'Opći dio'!$L$6:$U$136,9,FALSE))</f>
        <v/>
      </c>
      <c r="C390" s="200" t="str">
        <f t="shared" si="34"/>
        <v/>
      </c>
      <c r="D390" s="139" t="str">
        <f t="shared" si="35"/>
        <v/>
      </c>
      <c r="E390" s="151"/>
      <c r="F390" s="204" t="str">
        <f t="shared" si="36"/>
        <v/>
      </c>
      <c r="G390" s="196"/>
      <c r="H390" s="196"/>
      <c r="I390" s="196"/>
      <c r="K390" s="142" t="str">
        <f t="shared" si="37"/>
        <v/>
      </c>
      <c r="L390" s="142" t="str">
        <f t="shared" si="38"/>
        <v/>
      </c>
    </row>
    <row r="391" spans="1:12">
      <c r="A391" s="140" t="str">
        <f>IF(E391="","",VLOOKUP('Opći dio'!$C$3,'Opći dio'!$L$6:$U$136,10,FALSE))</f>
        <v/>
      </c>
      <c r="B391" s="140" t="str">
        <f>IF(E391="","",VLOOKUP('Opći dio'!$C$3,'Opći dio'!$L$6:$U$136,9,FALSE))</f>
        <v/>
      </c>
      <c r="C391" s="200" t="str">
        <f t="shared" si="34"/>
        <v/>
      </c>
      <c r="D391" s="139" t="str">
        <f t="shared" si="35"/>
        <v/>
      </c>
      <c r="E391" s="151"/>
      <c r="F391" s="204" t="str">
        <f t="shared" si="36"/>
        <v/>
      </c>
      <c r="G391" s="196"/>
      <c r="H391" s="196"/>
      <c r="I391" s="196"/>
      <c r="K391" s="142" t="str">
        <f t="shared" si="37"/>
        <v/>
      </c>
      <c r="L391" s="142" t="str">
        <f t="shared" si="38"/>
        <v/>
      </c>
    </row>
    <row r="392" spans="1:12">
      <c r="A392" s="140" t="str">
        <f>IF(E392="","",VLOOKUP('Opći dio'!$C$3,'Opći dio'!$L$6:$U$136,10,FALSE))</f>
        <v/>
      </c>
      <c r="B392" s="140" t="str">
        <f>IF(E392="","",VLOOKUP('Opći dio'!$C$3,'Opći dio'!$L$6:$U$136,9,FALSE))</f>
        <v/>
      </c>
      <c r="C392" s="200" t="str">
        <f t="shared" si="34"/>
        <v/>
      </c>
      <c r="D392" s="139" t="str">
        <f t="shared" si="35"/>
        <v/>
      </c>
      <c r="E392" s="151"/>
      <c r="F392" s="204" t="str">
        <f t="shared" si="36"/>
        <v/>
      </c>
      <c r="G392" s="196"/>
      <c r="H392" s="196"/>
      <c r="I392" s="196"/>
      <c r="K392" s="142" t="str">
        <f t="shared" si="37"/>
        <v/>
      </c>
      <c r="L392" s="142" t="str">
        <f t="shared" si="38"/>
        <v/>
      </c>
    </row>
    <row r="393" spans="1:12">
      <c r="A393" s="140" t="str">
        <f>IF(E393="","",VLOOKUP('Opći dio'!$C$3,'Opći dio'!$L$6:$U$136,10,FALSE))</f>
        <v/>
      </c>
      <c r="B393" s="140" t="str">
        <f>IF(E393="","",VLOOKUP('Opći dio'!$C$3,'Opći dio'!$L$6:$U$136,9,FALSE))</f>
        <v/>
      </c>
      <c r="C393" s="200" t="str">
        <f t="shared" si="34"/>
        <v/>
      </c>
      <c r="D393" s="139" t="str">
        <f t="shared" si="35"/>
        <v/>
      </c>
      <c r="E393" s="151"/>
      <c r="F393" s="204" t="str">
        <f t="shared" si="36"/>
        <v/>
      </c>
      <c r="G393" s="196"/>
      <c r="H393" s="196"/>
      <c r="I393" s="196"/>
      <c r="K393" s="142" t="str">
        <f t="shared" si="37"/>
        <v/>
      </c>
      <c r="L393" s="142" t="str">
        <f t="shared" si="38"/>
        <v/>
      </c>
    </row>
    <row r="394" spans="1:12">
      <c r="A394" s="140" t="str">
        <f>IF(E394="","",VLOOKUP('Opći dio'!$C$3,'Opći dio'!$L$6:$U$136,10,FALSE))</f>
        <v/>
      </c>
      <c r="B394" s="140" t="str">
        <f>IF(E394="","",VLOOKUP('Opći dio'!$C$3,'Opći dio'!$L$6:$U$136,9,FALSE))</f>
        <v/>
      </c>
      <c r="C394" s="200" t="str">
        <f t="shared" si="34"/>
        <v/>
      </c>
      <c r="D394" s="139" t="str">
        <f t="shared" si="35"/>
        <v/>
      </c>
      <c r="E394" s="151"/>
      <c r="F394" s="204" t="str">
        <f t="shared" si="36"/>
        <v/>
      </c>
      <c r="G394" s="196"/>
      <c r="H394" s="196"/>
      <c r="I394" s="196"/>
      <c r="K394" s="142" t="str">
        <f t="shared" si="37"/>
        <v/>
      </c>
      <c r="L394" s="142" t="str">
        <f t="shared" si="38"/>
        <v/>
      </c>
    </row>
    <row r="395" spans="1:12">
      <c r="A395" s="140" t="str">
        <f>IF(E395="","",VLOOKUP('Opći dio'!$C$3,'Opći dio'!$L$6:$U$136,10,FALSE))</f>
        <v/>
      </c>
      <c r="B395" s="140" t="str">
        <f>IF(E395="","",VLOOKUP('Opći dio'!$C$3,'Opći dio'!$L$6:$U$136,9,FALSE))</f>
        <v/>
      </c>
      <c r="C395" s="200" t="str">
        <f t="shared" si="34"/>
        <v/>
      </c>
      <c r="D395" s="139" t="str">
        <f t="shared" si="35"/>
        <v/>
      </c>
      <c r="E395" s="151"/>
      <c r="F395" s="204" t="str">
        <f t="shared" si="36"/>
        <v/>
      </c>
      <c r="G395" s="196"/>
      <c r="H395" s="196"/>
      <c r="I395" s="196"/>
      <c r="K395" s="142" t="str">
        <f t="shared" si="37"/>
        <v/>
      </c>
      <c r="L395" s="142" t="str">
        <f t="shared" si="38"/>
        <v/>
      </c>
    </row>
    <row r="396" spans="1:12">
      <c r="A396" s="140" t="str">
        <f>IF(E396="","",VLOOKUP('Opći dio'!$C$3,'Opći dio'!$L$6:$U$136,10,FALSE))</f>
        <v/>
      </c>
      <c r="B396" s="140" t="str">
        <f>IF(E396="","",VLOOKUP('Opći dio'!$C$3,'Opći dio'!$L$6:$U$136,9,FALSE))</f>
        <v/>
      </c>
      <c r="C396" s="200" t="str">
        <f t="shared" si="34"/>
        <v/>
      </c>
      <c r="D396" s="139" t="str">
        <f t="shared" si="35"/>
        <v/>
      </c>
      <c r="E396" s="151"/>
      <c r="F396" s="204" t="str">
        <f t="shared" si="36"/>
        <v/>
      </c>
      <c r="G396" s="196"/>
      <c r="H396" s="196"/>
      <c r="I396" s="196"/>
      <c r="K396" s="142" t="str">
        <f t="shared" si="37"/>
        <v/>
      </c>
      <c r="L396" s="142" t="str">
        <f t="shared" si="38"/>
        <v/>
      </c>
    </row>
    <row r="397" spans="1:12">
      <c r="A397" s="140" t="str">
        <f>IF(E397="","",VLOOKUP('Opći dio'!$C$3,'Opći dio'!$L$6:$U$136,10,FALSE))</f>
        <v/>
      </c>
      <c r="B397" s="140" t="str">
        <f>IF(E397="","",VLOOKUP('Opći dio'!$C$3,'Opći dio'!$L$6:$U$136,9,FALSE))</f>
        <v/>
      </c>
      <c r="C397" s="200" t="str">
        <f t="shared" si="34"/>
        <v/>
      </c>
      <c r="D397" s="139" t="str">
        <f t="shared" si="35"/>
        <v/>
      </c>
      <c r="E397" s="151"/>
      <c r="F397" s="204" t="str">
        <f t="shared" si="36"/>
        <v/>
      </c>
      <c r="G397" s="196"/>
      <c r="H397" s="196"/>
      <c r="I397" s="196"/>
      <c r="K397" s="142" t="str">
        <f t="shared" si="37"/>
        <v/>
      </c>
      <c r="L397" s="142" t="str">
        <f t="shared" si="38"/>
        <v/>
      </c>
    </row>
    <row r="398" spans="1:12">
      <c r="A398" s="140" t="str">
        <f>IF(E398="","",VLOOKUP('Opći dio'!$C$3,'Opći dio'!$L$6:$U$136,10,FALSE))</f>
        <v/>
      </c>
      <c r="B398" s="140" t="str">
        <f>IF(E398="","",VLOOKUP('Opći dio'!$C$3,'Opći dio'!$L$6:$U$136,9,FALSE))</f>
        <v/>
      </c>
      <c r="C398" s="200" t="str">
        <f t="shared" si="34"/>
        <v/>
      </c>
      <c r="D398" s="139" t="str">
        <f t="shared" si="35"/>
        <v/>
      </c>
      <c r="E398" s="151"/>
      <c r="F398" s="204" t="str">
        <f t="shared" si="36"/>
        <v/>
      </c>
      <c r="G398" s="196"/>
      <c r="H398" s="196"/>
      <c r="I398" s="196"/>
      <c r="K398" s="142" t="str">
        <f t="shared" si="37"/>
        <v/>
      </c>
      <c r="L398" s="142" t="str">
        <f t="shared" si="38"/>
        <v/>
      </c>
    </row>
    <row r="399" spans="1:12">
      <c r="A399" s="140" t="str">
        <f>IF(E399="","",VLOOKUP('Opći dio'!$C$3,'Opći dio'!$L$6:$U$136,10,FALSE))</f>
        <v/>
      </c>
      <c r="B399" s="140" t="str">
        <f>IF(E399="","",VLOOKUP('Opći dio'!$C$3,'Opći dio'!$L$6:$U$136,9,FALSE))</f>
        <v/>
      </c>
      <c r="C399" s="200" t="str">
        <f t="shared" si="34"/>
        <v/>
      </c>
      <c r="D399" s="139" t="str">
        <f t="shared" si="35"/>
        <v/>
      </c>
      <c r="E399" s="151"/>
      <c r="F399" s="204" t="str">
        <f t="shared" si="36"/>
        <v/>
      </c>
      <c r="G399" s="196"/>
      <c r="H399" s="196"/>
      <c r="I399" s="196"/>
      <c r="K399" s="142" t="str">
        <f t="shared" si="37"/>
        <v/>
      </c>
      <c r="L399" s="142" t="str">
        <f t="shared" si="38"/>
        <v/>
      </c>
    </row>
    <row r="400" spans="1:12">
      <c r="A400" s="140" t="str">
        <f>IF(E400="","",VLOOKUP('Opći dio'!$C$3,'Opći dio'!$L$6:$U$136,10,FALSE))</f>
        <v/>
      </c>
      <c r="B400" s="140" t="str">
        <f>IF(E400="","",VLOOKUP('Opći dio'!$C$3,'Opći dio'!$L$6:$U$136,9,FALSE))</f>
        <v/>
      </c>
      <c r="C400" s="200" t="str">
        <f t="shared" si="34"/>
        <v/>
      </c>
      <c r="D400" s="139" t="str">
        <f t="shared" si="35"/>
        <v/>
      </c>
      <c r="E400" s="151"/>
      <c r="F400" s="204" t="str">
        <f t="shared" si="36"/>
        <v/>
      </c>
      <c r="G400" s="196"/>
      <c r="H400" s="196"/>
      <c r="I400" s="196"/>
      <c r="K400" s="142" t="str">
        <f t="shared" si="37"/>
        <v/>
      </c>
      <c r="L400" s="142" t="str">
        <f t="shared" si="38"/>
        <v/>
      </c>
    </row>
    <row r="401" spans="1:12">
      <c r="A401" s="140" t="str">
        <f>IF(E401="","",VLOOKUP('Opći dio'!$C$3,'Opći dio'!$L$6:$U$136,10,FALSE))</f>
        <v/>
      </c>
      <c r="B401" s="140" t="str">
        <f>IF(E401="","",VLOOKUP('Opći dio'!$C$3,'Opći dio'!$L$6:$U$136,9,FALSE))</f>
        <v/>
      </c>
      <c r="C401" s="200" t="str">
        <f t="shared" si="34"/>
        <v/>
      </c>
      <c r="D401" s="139" t="str">
        <f t="shared" si="35"/>
        <v/>
      </c>
      <c r="E401" s="151"/>
      <c r="F401" s="204" t="str">
        <f t="shared" si="36"/>
        <v/>
      </c>
      <c r="G401" s="196"/>
      <c r="H401" s="196"/>
      <c r="I401" s="196"/>
      <c r="K401" s="142" t="str">
        <f t="shared" si="37"/>
        <v/>
      </c>
      <c r="L401" s="142" t="str">
        <f t="shared" si="38"/>
        <v/>
      </c>
    </row>
    <row r="402" spans="1:12">
      <c r="A402" s="140" t="str">
        <f>IF(E402="","",VLOOKUP('Opći dio'!$C$3,'Opći dio'!$L$6:$U$136,10,FALSE))</f>
        <v/>
      </c>
      <c r="B402" s="140" t="str">
        <f>IF(E402="","",VLOOKUP('Opći dio'!$C$3,'Opći dio'!$L$6:$U$136,9,FALSE))</f>
        <v/>
      </c>
      <c r="C402" s="200" t="str">
        <f t="shared" si="34"/>
        <v/>
      </c>
      <c r="D402" s="139" t="str">
        <f t="shared" si="35"/>
        <v/>
      </c>
      <c r="E402" s="151"/>
      <c r="F402" s="204" t="str">
        <f t="shared" si="36"/>
        <v/>
      </c>
      <c r="G402" s="196"/>
      <c r="H402" s="196"/>
      <c r="I402" s="196"/>
      <c r="K402" s="142" t="str">
        <f t="shared" si="37"/>
        <v/>
      </c>
      <c r="L402" s="142" t="str">
        <f t="shared" si="38"/>
        <v/>
      </c>
    </row>
    <row r="403" spans="1:12">
      <c r="A403" s="140" t="str">
        <f>IF(E403="","",VLOOKUP('Opći dio'!$C$3,'Opći dio'!$L$6:$U$136,10,FALSE))</f>
        <v/>
      </c>
      <c r="B403" s="140" t="str">
        <f>IF(E403="","",VLOOKUP('Opći dio'!$C$3,'Opći dio'!$L$6:$U$136,9,FALSE))</f>
        <v/>
      </c>
      <c r="C403" s="200" t="str">
        <f t="shared" si="34"/>
        <v/>
      </c>
      <c r="D403" s="139" t="str">
        <f t="shared" si="35"/>
        <v/>
      </c>
      <c r="E403" s="151"/>
      <c r="F403" s="204" t="str">
        <f t="shared" si="36"/>
        <v/>
      </c>
      <c r="G403" s="196"/>
      <c r="H403" s="196"/>
      <c r="I403" s="196"/>
      <c r="K403" s="142" t="str">
        <f t="shared" si="37"/>
        <v/>
      </c>
      <c r="L403" s="142" t="str">
        <f t="shared" si="38"/>
        <v/>
      </c>
    </row>
    <row r="404" spans="1:12">
      <c r="A404" s="140" t="str">
        <f>IF(E404="","",VLOOKUP('Opći dio'!$C$3,'Opći dio'!$L$6:$U$136,10,FALSE))</f>
        <v/>
      </c>
      <c r="B404" s="140" t="str">
        <f>IF(E404="","",VLOOKUP('Opći dio'!$C$3,'Opći dio'!$L$6:$U$136,9,FALSE))</f>
        <v/>
      </c>
      <c r="C404" s="200" t="str">
        <f t="shared" si="34"/>
        <v/>
      </c>
      <c r="D404" s="139" t="str">
        <f t="shared" si="35"/>
        <v/>
      </c>
      <c r="E404" s="151"/>
      <c r="F404" s="204" t="str">
        <f t="shared" si="36"/>
        <v/>
      </c>
      <c r="G404" s="196"/>
      <c r="H404" s="196"/>
      <c r="I404" s="196"/>
      <c r="K404" s="142" t="str">
        <f t="shared" si="37"/>
        <v/>
      </c>
      <c r="L404" s="142" t="str">
        <f t="shared" si="38"/>
        <v/>
      </c>
    </row>
    <row r="405" spans="1:12">
      <c r="A405" s="140" t="str">
        <f>IF(E405="","",VLOOKUP('Opći dio'!$C$3,'Opći dio'!$L$6:$U$136,10,FALSE))</f>
        <v/>
      </c>
      <c r="B405" s="140" t="str">
        <f>IF(E405="","",VLOOKUP('Opći dio'!$C$3,'Opći dio'!$L$6:$U$136,9,FALSE))</f>
        <v/>
      </c>
      <c r="C405" s="200" t="str">
        <f t="shared" si="34"/>
        <v/>
      </c>
      <c r="D405" s="139" t="str">
        <f t="shared" si="35"/>
        <v/>
      </c>
      <c r="E405" s="151"/>
      <c r="F405" s="204" t="str">
        <f t="shared" si="36"/>
        <v/>
      </c>
      <c r="G405" s="196"/>
      <c r="H405" s="196"/>
      <c r="I405" s="196"/>
      <c r="K405" s="142" t="str">
        <f t="shared" si="37"/>
        <v/>
      </c>
      <c r="L405" s="142" t="str">
        <f t="shared" si="38"/>
        <v/>
      </c>
    </row>
    <row r="406" spans="1:12">
      <c r="A406" s="140" t="str">
        <f>IF(E406="","",VLOOKUP('Opći dio'!$C$3,'Opći dio'!$L$6:$U$136,10,FALSE))</f>
        <v/>
      </c>
      <c r="B406" s="140" t="str">
        <f>IF(E406="","",VLOOKUP('Opći dio'!$C$3,'Opći dio'!$L$6:$U$136,9,FALSE))</f>
        <v/>
      </c>
      <c r="C406" s="200" t="str">
        <f t="shared" si="34"/>
        <v/>
      </c>
      <c r="D406" s="139" t="str">
        <f t="shared" si="35"/>
        <v/>
      </c>
      <c r="E406" s="151"/>
      <c r="F406" s="204" t="str">
        <f t="shared" si="36"/>
        <v/>
      </c>
      <c r="G406" s="196"/>
      <c r="H406" s="196"/>
      <c r="I406" s="196"/>
      <c r="K406" s="142" t="str">
        <f t="shared" si="37"/>
        <v/>
      </c>
      <c r="L406" s="142" t="str">
        <f t="shared" si="38"/>
        <v/>
      </c>
    </row>
    <row r="407" spans="1:12">
      <c r="A407" s="140" t="str">
        <f>IF(E407="","",VLOOKUP('Opći dio'!$C$3,'Opći dio'!$L$6:$U$136,10,FALSE))</f>
        <v/>
      </c>
      <c r="B407" s="140" t="str">
        <f>IF(E407="","",VLOOKUP('Opći dio'!$C$3,'Opći dio'!$L$6:$U$136,9,FALSE))</f>
        <v/>
      </c>
      <c r="C407" s="200" t="str">
        <f t="shared" si="34"/>
        <v/>
      </c>
      <c r="D407" s="139" t="str">
        <f t="shared" si="35"/>
        <v/>
      </c>
      <c r="E407" s="151"/>
      <c r="F407" s="204" t="str">
        <f t="shared" si="36"/>
        <v/>
      </c>
      <c r="G407" s="196"/>
      <c r="H407" s="196"/>
      <c r="I407" s="196"/>
      <c r="K407" s="142" t="str">
        <f t="shared" si="37"/>
        <v/>
      </c>
      <c r="L407" s="142" t="str">
        <f t="shared" si="38"/>
        <v/>
      </c>
    </row>
    <row r="408" spans="1:12">
      <c r="A408" s="140" t="str">
        <f>IF(E408="","",VLOOKUP('Opći dio'!$C$3,'Opći dio'!$L$6:$U$136,10,FALSE))</f>
        <v/>
      </c>
      <c r="B408" s="140" t="str">
        <f>IF(E408="","",VLOOKUP('Opći dio'!$C$3,'Opći dio'!$L$6:$U$136,9,FALSE))</f>
        <v/>
      </c>
      <c r="C408" s="200" t="str">
        <f t="shared" si="34"/>
        <v/>
      </c>
      <c r="D408" s="139" t="str">
        <f t="shared" si="35"/>
        <v/>
      </c>
      <c r="E408" s="151"/>
      <c r="F408" s="204" t="str">
        <f t="shared" si="36"/>
        <v/>
      </c>
      <c r="G408" s="196"/>
      <c r="H408" s="196"/>
      <c r="I408" s="196"/>
      <c r="K408" s="142" t="str">
        <f t="shared" si="37"/>
        <v/>
      </c>
      <c r="L408" s="142" t="str">
        <f t="shared" si="38"/>
        <v/>
      </c>
    </row>
    <row r="409" spans="1:12">
      <c r="A409" s="140" t="str">
        <f>IF(E409="","",VLOOKUP('Opći dio'!$C$3,'Opći dio'!$L$6:$U$136,10,FALSE))</f>
        <v/>
      </c>
      <c r="B409" s="140" t="str">
        <f>IF(E409="","",VLOOKUP('Opći dio'!$C$3,'Opći dio'!$L$6:$U$136,9,FALSE))</f>
        <v/>
      </c>
      <c r="C409" s="200" t="str">
        <f t="shared" si="34"/>
        <v/>
      </c>
      <c r="D409" s="139" t="str">
        <f t="shared" si="35"/>
        <v/>
      </c>
      <c r="E409" s="151"/>
      <c r="F409" s="204" t="str">
        <f t="shared" si="36"/>
        <v/>
      </c>
      <c r="G409" s="196"/>
      <c r="H409" s="196"/>
      <c r="I409" s="196"/>
      <c r="K409" s="142" t="str">
        <f t="shared" si="37"/>
        <v/>
      </c>
      <c r="L409" s="142" t="str">
        <f t="shared" si="38"/>
        <v/>
      </c>
    </row>
    <row r="410" spans="1:12">
      <c r="A410" s="140" t="str">
        <f>IF(E410="","",VLOOKUP('Opći dio'!$C$3,'Opći dio'!$L$6:$U$136,10,FALSE))</f>
        <v/>
      </c>
      <c r="B410" s="140" t="str">
        <f>IF(E410="","",VLOOKUP('Opći dio'!$C$3,'Opći dio'!$L$6:$U$136,9,FALSE))</f>
        <v/>
      </c>
      <c r="C410" s="200" t="str">
        <f t="shared" si="34"/>
        <v/>
      </c>
      <c r="D410" s="139" t="str">
        <f t="shared" si="35"/>
        <v/>
      </c>
      <c r="E410" s="151"/>
      <c r="F410" s="204" t="str">
        <f t="shared" si="36"/>
        <v/>
      </c>
      <c r="G410" s="196"/>
      <c r="H410" s="196"/>
      <c r="I410" s="196"/>
      <c r="K410" s="142" t="str">
        <f t="shared" si="37"/>
        <v/>
      </c>
      <c r="L410" s="142" t="str">
        <f t="shared" si="38"/>
        <v/>
      </c>
    </row>
    <row r="411" spans="1:12">
      <c r="A411" s="140" t="str">
        <f>IF(E411="","",VLOOKUP('Opći dio'!$C$3,'Opći dio'!$L$6:$U$136,10,FALSE))</f>
        <v/>
      </c>
      <c r="B411" s="140" t="str">
        <f>IF(E411="","",VLOOKUP('Opći dio'!$C$3,'Opći dio'!$L$6:$U$136,9,FALSE))</f>
        <v/>
      </c>
      <c r="C411" s="200" t="str">
        <f t="shared" si="34"/>
        <v/>
      </c>
      <c r="D411" s="139" t="str">
        <f t="shared" si="35"/>
        <v/>
      </c>
      <c r="E411" s="151"/>
      <c r="F411" s="204" t="str">
        <f t="shared" si="36"/>
        <v/>
      </c>
      <c r="G411" s="196"/>
      <c r="H411" s="196"/>
      <c r="I411" s="196"/>
      <c r="K411" s="142" t="str">
        <f t="shared" si="37"/>
        <v/>
      </c>
      <c r="L411" s="142" t="str">
        <f t="shared" si="38"/>
        <v/>
      </c>
    </row>
    <row r="412" spans="1:12">
      <c r="A412" s="140" t="str">
        <f>IF(E412="","",VLOOKUP('Opći dio'!$C$3,'Opći dio'!$L$6:$U$136,10,FALSE))</f>
        <v/>
      </c>
      <c r="B412" s="140" t="str">
        <f>IF(E412="","",VLOOKUP('Opći dio'!$C$3,'Opći dio'!$L$6:$U$136,9,FALSE))</f>
        <v/>
      </c>
      <c r="C412" s="200" t="str">
        <f t="shared" si="34"/>
        <v/>
      </c>
      <c r="D412" s="139" t="str">
        <f t="shared" si="35"/>
        <v/>
      </c>
      <c r="E412" s="151"/>
      <c r="F412" s="204" t="str">
        <f t="shared" si="36"/>
        <v/>
      </c>
      <c r="G412" s="196"/>
      <c r="H412" s="196"/>
      <c r="I412" s="196"/>
      <c r="K412" s="142" t="str">
        <f t="shared" si="37"/>
        <v/>
      </c>
      <c r="L412" s="142" t="str">
        <f t="shared" si="38"/>
        <v/>
      </c>
    </row>
    <row r="413" spans="1:12">
      <c r="A413" s="140" t="str">
        <f>IF(E413="","",VLOOKUP('Opći dio'!$C$3,'Opći dio'!$L$6:$U$136,10,FALSE))</f>
        <v/>
      </c>
      <c r="B413" s="140" t="str">
        <f>IF(E413="","",VLOOKUP('Opći dio'!$C$3,'Opći dio'!$L$6:$U$136,9,FALSE))</f>
        <v/>
      </c>
      <c r="C413" s="200" t="str">
        <f t="shared" si="34"/>
        <v/>
      </c>
      <c r="D413" s="139" t="str">
        <f t="shared" si="35"/>
        <v/>
      </c>
      <c r="E413" s="151"/>
      <c r="F413" s="204" t="str">
        <f t="shared" si="36"/>
        <v/>
      </c>
      <c r="G413" s="196"/>
      <c r="H413" s="196"/>
      <c r="I413" s="196"/>
      <c r="K413" s="142" t="str">
        <f t="shared" si="37"/>
        <v/>
      </c>
      <c r="L413" s="142" t="str">
        <f t="shared" si="38"/>
        <v/>
      </c>
    </row>
    <row r="414" spans="1:12">
      <c r="A414" s="140" t="str">
        <f>IF(E414="","",VLOOKUP('Opći dio'!$C$3,'Opći dio'!$L$6:$U$136,10,FALSE))</f>
        <v/>
      </c>
      <c r="B414" s="140" t="str">
        <f>IF(E414="","",VLOOKUP('Opći dio'!$C$3,'Opći dio'!$L$6:$U$136,9,FALSE))</f>
        <v/>
      </c>
      <c r="C414" s="200" t="str">
        <f t="shared" si="34"/>
        <v/>
      </c>
      <c r="D414" s="139" t="str">
        <f t="shared" si="35"/>
        <v/>
      </c>
      <c r="E414" s="151"/>
      <c r="F414" s="204" t="str">
        <f t="shared" si="36"/>
        <v/>
      </c>
      <c r="G414" s="196"/>
      <c r="H414" s="196"/>
      <c r="I414" s="196"/>
      <c r="K414" s="142" t="str">
        <f t="shared" si="37"/>
        <v/>
      </c>
      <c r="L414" s="142" t="str">
        <f t="shared" si="38"/>
        <v/>
      </c>
    </row>
    <row r="415" spans="1:12">
      <c r="A415" s="140" t="str">
        <f>IF(E415="","",VLOOKUP('Opći dio'!$C$3,'Opći dio'!$L$6:$U$136,10,FALSE))</f>
        <v/>
      </c>
      <c r="B415" s="140" t="str">
        <f>IF(E415="","",VLOOKUP('Opći dio'!$C$3,'Opći dio'!$L$6:$U$136,9,FALSE))</f>
        <v/>
      </c>
      <c r="C415" s="200" t="str">
        <f t="shared" si="34"/>
        <v/>
      </c>
      <c r="D415" s="139" t="str">
        <f t="shared" si="35"/>
        <v/>
      </c>
      <c r="E415" s="151"/>
      <c r="F415" s="204" t="str">
        <f t="shared" si="36"/>
        <v/>
      </c>
      <c r="G415" s="196"/>
      <c r="H415" s="196"/>
      <c r="I415" s="196"/>
      <c r="K415" s="142" t="str">
        <f t="shared" si="37"/>
        <v/>
      </c>
      <c r="L415" s="142" t="str">
        <f t="shared" si="38"/>
        <v/>
      </c>
    </row>
    <row r="416" spans="1:12">
      <c r="A416" s="140" t="str">
        <f>IF(E416="","",VLOOKUP('Opći dio'!$C$3,'Opći dio'!$L$6:$U$136,10,FALSE))</f>
        <v/>
      </c>
      <c r="B416" s="140" t="str">
        <f>IF(E416="","",VLOOKUP('Opći dio'!$C$3,'Opći dio'!$L$6:$U$136,9,FALSE))</f>
        <v/>
      </c>
      <c r="C416" s="200" t="str">
        <f t="shared" si="34"/>
        <v/>
      </c>
      <c r="D416" s="139" t="str">
        <f t="shared" si="35"/>
        <v/>
      </c>
      <c r="E416" s="151"/>
      <c r="F416" s="204" t="str">
        <f t="shared" si="36"/>
        <v/>
      </c>
      <c r="G416" s="196"/>
      <c r="H416" s="196"/>
      <c r="I416" s="196"/>
      <c r="K416" s="142" t="str">
        <f t="shared" si="37"/>
        <v/>
      </c>
      <c r="L416" s="142" t="str">
        <f t="shared" si="38"/>
        <v/>
      </c>
    </row>
    <row r="417" spans="1:12">
      <c r="A417" s="140" t="str">
        <f>IF(E417="","",VLOOKUP('Opći dio'!$C$3,'Opći dio'!$L$6:$U$136,10,FALSE))</f>
        <v/>
      </c>
      <c r="B417" s="140" t="str">
        <f>IF(E417="","",VLOOKUP('Opći dio'!$C$3,'Opći dio'!$L$6:$U$136,9,FALSE))</f>
        <v/>
      </c>
      <c r="C417" s="200" t="str">
        <f t="shared" si="34"/>
        <v/>
      </c>
      <c r="D417" s="139" t="str">
        <f t="shared" si="35"/>
        <v/>
      </c>
      <c r="E417" s="151"/>
      <c r="F417" s="204" t="str">
        <f t="shared" si="36"/>
        <v/>
      </c>
      <c r="G417" s="196"/>
      <c r="H417" s="196"/>
      <c r="I417" s="196"/>
      <c r="K417" s="142" t="str">
        <f t="shared" si="37"/>
        <v/>
      </c>
      <c r="L417" s="142" t="str">
        <f t="shared" si="38"/>
        <v/>
      </c>
    </row>
    <row r="418" spans="1:12">
      <c r="A418" s="140" t="str">
        <f>IF(E418="","",VLOOKUP('Opći dio'!$C$3,'Opći dio'!$L$6:$U$136,10,FALSE))</f>
        <v/>
      </c>
      <c r="B418" s="140" t="str">
        <f>IF(E418="","",VLOOKUP('Opći dio'!$C$3,'Opći dio'!$L$6:$U$136,9,FALSE))</f>
        <v/>
      </c>
      <c r="C418" s="200" t="str">
        <f t="shared" si="34"/>
        <v/>
      </c>
      <c r="D418" s="139" t="str">
        <f t="shared" si="35"/>
        <v/>
      </c>
      <c r="E418" s="151"/>
      <c r="F418" s="204" t="str">
        <f t="shared" si="36"/>
        <v/>
      </c>
      <c r="G418" s="196"/>
      <c r="H418" s="196"/>
      <c r="I418" s="196"/>
      <c r="K418" s="142" t="str">
        <f t="shared" si="37"/>
        <v/>
      </c>
      <c r="L418" s="142" t="str">
        <f t="shared" si="38"/>
        <v/>
      </c>
    </row>
    <row r="419" spans="1:12">
      <c r="A419" s="140" t="str">
        <f>IF(E419="","",VLOOKUP('Opći dio'!$C$3,'Opći dio'!$L$6:$U$136,10,FALSE))</f>
        <v/>
      </c>
      <c r="B419" s="140" t="str">
        <f>IF(E419="","",VLOOKUP('Opći dio'!$C$3,'Opći dio'!$L$6:$U$136,9,FALSE))</f>
        <v/>
      </c>
      <c r="C419" s="200" t="str">
        <f t="shared" si="34"/>
        <v/>
      </c>
      <c r="D419" s="139" t="str">
        <f t="shared" si="35"/>
        <v/>
      </c>
      <c r="E419" s="151"/>
      <c r="F419" s="204" t="str">
        <f t="shared" si="36"/>
        <v/>
      </c>
      <c r="G419" s="196"/>
      <c r="H419" s="196"/>
      <c r="I419" s="196"/>
      <c r="K419" s="142" t="str">
        <f t="shared" si="37"/>
        <v/>
      </c>
      <c r="L419" s="142" t="str">
        <f t="shared" si="38"/>
        <v/>
      </c>
    </row>
    <row r="420" spans="1:12">
      <c r="A420" s="140" t="str">
        <f>IF(E420="","",VLOOKUP('Opći dio'!$C$3,'Opći dio'!$L$6:$U$136,10,FALSE))</f>
        <v/>
      </c>
      <c r="B420" s="140" t="str">
        <f>IF(E420="","",VLOOKUP('Opći dio'!$C$3,'Opći dio'!$L$6:$U$136,9,FALSE))</f>
        <v/>
      </c>
      <c r="C420" s="200" t="str">
        <f t="shared" si="34"/>
        <v/>
      </c>
      <c r="D420" s="139" t="str">
        <f t="shared" si="35"/>
        <v/>
      </c>
      <c r="E420" s="151"/>
      <c r="F420" s="204" t="str">
        <f t="shared" si="36"/>
        <v/>
      </c>
      <c r="G420" s="196"/>
      <c r="H420" s="196"/>
      <c r="I420" s="196"/>
      <c r="K420" s="142" t="str">
        <f t="shared" si="37"/>
        <v/>
      </c>
      <c r="L420" s="142" t="str">
        <f t="shared" si="38"/>
        <v/>
      </c>
    </row>
    <row r="421" spans="1:12">
      <c r="A421" s="140" t="str">
        <f>IF(E421="","",VLOOKUP('Opći dio'!$C$3,'Opći dio'!$L$6:$U$136,10,FALSE))</f>
        <v/>
      </c>
      <c r="B421" s="140" t="str">
        <f>IF(E421="","",VLOOKUP('Opći dio'!$C$3,'Opći dio'!$L$6:$U$136,9,FALSE))</f>
        <v/>
      </c>
      <c r="C421" s="200" t="str">
        <f t="shared" si="34"/>
        <v/>
      </c>
      <c r="D421" s="139" t="str">
        <f t="shared" si="35"/>
        <v/>
      </c>
      <c r="E421" s="151"/>
      <c r="F421" s="204" t="str">
        <f t="shared" si="36"/>
        <v/>
      </c>
      <c r="G421" s="196"/>
      <c r="H421" s="196"/>
      <c r="I421" s="196"/>
      <c r="K421" s="142" t="str">
        <f t="shared" si="37"/>
        <v/>
      </c>
      <c r="L421" s="142" t="str">
        <f t="shared" si="38"/>
        <v/>
      </c>
    </row>
    <row r="422" spans="1:12">
      <c r="A422" s="140" t="str">
        <f>IF(E422="","",VLOOKUP('Opći dio'!$C$3,'Opći dio'!$L$6:$U$136,10,FALSE))</f>
        <v/>
      </c>
      <c r="B422" s="140" t="str">
        <f>IF(E422="","",VLOOKUP('Opći dio'!$C$3,'Opći dio'!$L$6:$U$136,9,FALSE))</f>
        <v/>
      </c>
      <c r="C422" s="200" t="str">
        <f t="shared" si="34"/>
        <v/>
      </c>
      <c r="D422" s="139" t="str">
        <f t="shared" si="35"/>
        <v/>
      </c>
      <c r="E422" s="151"/>
      <c r="F422" s="204" t="str">
        <f t="shared" si="36"/>
        <v/>
      </c>
      <c r="G422" s="196"/>
      <c r="H422" s="196"/>
      <c r="I422" s="196"/>
      <c r="K422" s="142" t="str">
        <f t="shared" si="37"/>
        <v/>
      </c>
      <c r="L422" s="142" t="str">
        <f t="shared" si="38"/>
        <v/>
      </c>
    </row>
    <row r="423" spans="1:12">
      <c r="A423" s="140" t="str">
        <f>IF(E423="","",VLOOKUP('Opći dio'!$C$3,'Opći dio'!$L$6:$U$136,10,FALSE))</f>
        <v/>
      </c>
      <c r="B423" s="140" t="str">
        <f>IF(E423="","",VLOOKUP('Opći dio'!$C$3,'Opći dio'!$L$6:$U$136,9,FALSE))</f>
        <v/>
      </c>
      <c r="C423" s="200" t="str">
        <f t="shared" si="34"/>
        <v/>
      </c>
      <c r="D423" s="139" t="str">
        <f t="shared" si="35"/>
        <v/>
      </c>
      <c r="E423" s="151"/>
      <c r="F423" s="204" t="str">
        <f t="shared" si="36"/>
        <v/>
      </c>
      <c r="G423" s="196"/>
      <c r="H423" s="196"/>
      <c r="I423" s="196"/>
      <c r="K423" s="142" t="str">
        <f t="shared" si="37"/>
        <v/>
      </c>
      <c r="L423" s="142" t="str">
        <f t="shared" si="38"/>
        <v/>
      </c>
    </row>
    <row r="424" spans="1:12">
      <c r="A424" s="140" t="str">
        <f>IF(E424="","",VLOOKUP('Opći dio'!$C$3,'Opći dio'!$L$6:$U$136,10,FALSE))</f>
        <v/>
      </c>
      <c r="B424" s="140" t="str">
        <f>IF(E424="","",VLOOKUP('Opći dio'!$C$3,'Opći dio'!$L$6:$U$136,9,FALSE))</f>
        <v/>
      </c>
      <c r="C424" s="200" t="str">
        <f t="shared" si="34"/>
        <v/>
      </c>
      <c r="D424" s="139" t="str">
        <f t="shared" si="35"/>
        <v/>
      </c>
      <c r="E424" s="151"/>
      <c r="F424" s="204" t="str">
        <f t="shared" si="36"/>
        <v/>
      </c>
      <c r="G424" s="196"/>
      <c r="H424" s="196"/>
      <c r="I424" s="196"/>
      <c r="K424" s="142" t="str">
        <f t="shared" si="37"/>
        <v/>
      </c>
      <c r="L424" s="142" t="str">
        <f t="shared" si="38"/>
        <v/>
      </c>
    </row>
    <row r="425" spans="1:12">
      <c r="A425" s="140" t="str">
        <f>IF(E425="","",VLOOKUP('Opći dio'!$C$3,'Opći dio'!$L$6:$U$136,10,FALSE))</f>
        <v/>
      </c>
      <c r="B425" s="140" t="str">
        <f>IF(E425="","",VLOOKUP('Opći dio'!$C$3,'Opći dio'!$L$6:$U$136,9,FALSE))</f>
        <v/>
      </c>
      <c r="C425" s="200" t="str">
        <f t="shared" si="34"/>
        <v/>
      </c>
      <c r="D425" s="139" t="str">
        <f t="shared" si="35"/>
        <v/>
      </c>
      <c r="E425" s="151"/>
      <c r="F425" s="204" t="str">
        <f t="shared" si="36"/>
        <v/>
      </c>
      <c r="G425" s="196"/>
      <c r="H425" s="196"/>
      <c r="I425" s="196"/>
      <c r="K425" s="142" t="str">
        <f t="shared" si="37"/>
        <v/>
      </c>
      <c r="L425" s="142" t="str">
        <f t="shared" si="38"/>
        <v/>
      </c>
    </row>
    <row r="426" spans="1:12">
      <c r="A426" s="140" t="str">
        <f>IF(E426="","",VLOOKUP('Opći dio'!$C$3,'Opći dio'!$L$6:$U$136,10,FALSE))</f>
        <v/>
      </c>
      <c r="B426" s="140" t="str">
        <f>IF(E426="","",VLOOKUP('Opći dio'!$C$3,'Opći dio'!$L$6:$U$136,9,FALSE))</f>
        <v/>
      </c>
      <c r="C426" s="200" t="str">
        <f t="shared" si="34"/>
        <v/>
      </c>
      <c r="D426" s="139" t="str">
        <f t="shared" si="35"/>
        <v/>
      </c>
      <c r="E426" s="151"/>
      <c r="F426" s="204" t="str">
        <f t="shared" si="36"/>
        <v/>
      </c>
      <c r="G426" s="196"/>
      <c r="H426" s="196"/>
      <c r="I426" s="196"/>
      <c r="K426" s="142" t="str">
        <f t="shared" si="37"/>
        <v/>
      </c>
      <c r="L426" s="142" t="str">
        <f t="shared" si="38"/>
        <v/>
      </c>
    </row>
    <row r="427" spans="1:12">
      <c r="A427" s="140" t="str">
        <f>IF(E427="","",VLOOKUP('Opći dio'!$C$3,'Opći dio'!$L$6:$U$136,10,FALSE))</f>
        <v/>
      </c>
      <c r="B427" s="140" t="str">
        <f>IF(E427="","",VLOOKUP('Opći dio'!$C$3,'Opći dio'!$L$6:$U$136,9,FALSE))</f>
        <v/>
      </c>
      <c r="C427" s="200" t="str">
        <f t="shared" si="34"/>
        <v/>
      </c>
      <c r="D427" s="139" t="str">
        <f t="shared" si="35"/>
        <v/>
      </c>
      <c r="E427" s="151"/>
      <c r="F427" s="204" t="str">
        <f t="shared" si="36"/>
        <v/>
      </c>
      <c r="G427" s="196"/>
      <c r="H427" s="196"/>
      <c r="I427" s="196"/>
      <c r="K427" s="142" t="str">
        <f t="shared" si="37"/>
        <v/>
      </c>
      <c r="L427" s="142" t="str">
        <f t="shared" si="38"/>
        <v/>
      </c>
    </row>
    <row r="428" spans="1:12">
      <c r="A428" s="140" t="str">
        <f>IF(E428="","",VLOOKUP('Opći dio'!$C$3,'Opći dio'!$L$6:$U$136,10,FALSE))</f>
        <v/>
      </c>
      <c r="B428" s="140" t="str">
        <f>IF(E428="","",VLOOKUP('Opći dio'!$C$3,'Opći dio'!$L$6:$U$136,9,FALSE))</f>
        <v/>
      </c>
      <c r="C428" s="200" t="str">
        <f t="shared" si="34"/>
        <v/>
      </c>
      <c r="D428" s="139" t="str">
        <f t="shared" si="35"/>
        <v/>
      </c>
      <c r="E428" s="151"/>
      <c r="F428" s="204" t="str">
        <f t="shared" si="36"/>
        <v/>
      </c>
      <c r="G428" s="196"/>
      <c r="H428" s="196"/>
      <c r="I428" s="196"/>
      <c r="K428" s="142" t="str">
        <f t="shared" si="37"/>
        <v/>
      </c>
      <c r="L428" s="142" t="str">
        <f t="shared" si="38"/>
        <v/>
      </c>
    </row>
    <row r="429" spans="1:12">
      <c r="A429" s="140" t="str">
        <f>IF(E429="","",VLOOKUP('Opći dio'!$C$3,'Opći dio'!$L$6:$U$136,10,FALSE))</f>
        <v/>
      </c>
      <c r="B429" s="140" t="str">
        <f>IF(E429="","",VLOOKUP('Opći dio'!$C$3,'Opći dio'!$L$6:$U$136,9,FALSE))</f>
        <v/>
      </c>
      <c r="C429" s="200" t="str">
        <f t="shared" si="34"/>
        <v/>
      </c>
      <c r="D429" s="139" t="str">
        <f t="shared" si="35"/>
        <v/>
      </c>
      <c r="E429" s="151"/>
      <c r="F429" s="204" t="str">
        <f t="shared" si="36"/>
        <v/>
      </c>
      <c r="G429" s="196"/>
      <c r="H429" s="196"/>
      <c r="I429" s="196"/>
      <c r="K429" s="142" t="str">
        <f t="shared" si="37"/>
        <v/>
      </c>
      <c r="L429" s="142" t="str">
        <f t="shared" si="38"/>
        <v/>
      </c>
    </row>
    <row r="430" spans="1:12">
      <c r="A430" s="140" t="str">
        <f>IF(E430="","",VLOOKUP('Opći dio'!$C$3,'Opći dio'!$L$6:$U$136,10,FALSE))</f>
        <v/>
      </c>
      <c r="B430" s="140" t="str">
        <f>IF(E430="","",VLOOKUP('Opći dio'!$C$3,'Opći dio'!$L$6:$U$136,9,FALSE))</f>
        <v/>
      </c>
      <c r="C430" s="200" t="str">
        <f t="shared" si="34"/>
        <v/>
      </c>
      <c r="D430" s="139" t="str">
        <f t="shared" si="35"/>
        <v/>
      </c>
      <c r="E430" s="151"/>
      <c r="F430" s="204" t="str">
        <f t="shared" si="36"/>
        <v/>
      </c>
      <c r="G430" s="196"/>
      <c r="H430" s="196"/>
      <c r="I430" s="196"/>
      <c r="K430" s="142" t="str">
        <f t="shared" si="37"/>
        <v/>
      </c>
      <c r="L430" s="142" t="str">
        <f t="shared" si="38"/>
        <v/>
      </c>
    </row>
    <row r="431" spans="1:12">
      <c r="A431" s="140" t="str">
        <f>IF(E431="","",VLOOKUP('Opći dio'!$C$3,'Opći dio'!$L$6:$U$136,10,FALSE))</f>
        <v/>
      </c>
      <c r="B431" s="140" t="str">
        <f>IF(E431="","",VLOOKUP('Opći dio'!$C$3,'Opći dio'!$L$6:$U$136,9,FALSE))</f>
        <v/>
      </c>
      <c r="C431" s="200" t="str">
        <f t="shared" si="34"/>
        <v/>
      </c>
      <c r="D431" s="139" t="str">
        <f t="shared" si="35"/>
        <v/>
      </c>
      <c r="E431" s="151"/>
      <c r="F431" s="204" t="str">
        <f t="shared" si="36"/>
        <v/>
      </c>
      <c r="G431" s="196"/>
      <c r="H431" s="196"/>
      <c r="I431" s="196"/>
      <c r="K431" s="142" t="str">
        <f t="shared" si="37"/>
        <v/>
      </c>
      <c r="L431" s="142" t="str">
        <f t="shared" si="38"/>
        <v/>
      </c>
    </row>
    <row r="432" spans="1:12">
      <c r="A432" s="140" t="str">
        <f>IF(E432="","",VLOOKUP('Opći dio'!$C$3,'Opći dio'!$L$6:$U$136,10,FALSE))</f>
        <v/>
      </c>
      <c r="B432" s="140" t="str">
        <f>IF(E432="","",VLOOKUP('Opći dio'!$C$3,'Opći dio'!$L$6:$U$136,9,FALSE))</f>
        <v/>
      </c>
      <c r="C432" s="200" t="str">
        <f t="shared" si="34"/>
        <v/>
      </c>
      <c r="D432" s="139" t="str">
        <f t="shared" si="35"/>
        <v/>
      </c>
      <c r="E432" s="151"/>
      <c r="F432" s="204" t="str">
        <f t="shared" si="36"/>
        <v/>
      </c>
      <c r="G432" s="196"/>
      <c r="H432" s="196"/>
      <c r="I432" s="196"/>
      <c r="K432" s="142" t="str">
        <f t="shared" si="37"/>
        <v/>
      </c>
      <c r="L432" s="142" t="str">
        <f t="shared" si="38"/>
        <v/>
      </c>
    </row>
    <row r="433" spans="1:12">
      <c r="A433" s="140" t="str">
        <f>IF(E433="","",VLOOKUP('Opći dio'!$C$3,'Opći dio'!$L$6:$U$136,10,FALSE))</f>
        <v/>
      </c>
      <c r="B433" s="140" t="str">
        <f>IF(E433="","",VLOOKUP('Opći dio'!$C$3,'Opći dio'!$L$6:$U$136,9,FALSE))</f>
        <v/>
      </c>
      <c r="C433" s="200" t="str">
        <f t="shared" si="34"/>
        <v/>
      </c>
      <c r="D433" s="139" t="str">
        <f t="shared" si="35"/>
        <v/>
      </c>
      <c r="E433" s="151"/>
      <c r="F433" s="204" t="str">
        <f t="shared" si="36"/>
        <v/>
      </c>
      <c r="G433" s="196"/>
      <c r="H433" s="196"/>
      <c r="I433" s="196"/>
      <c r="K433" s="142" t="str">
        <f t="shared" si="37"/>
        <v/>
      </c>
      <c r="L433" s="142" t="str">
        <f t="shared" si="38"/>
        <v/>
      </c>
    </row>
    <row r="434" spans="1:12">
      <c r="A434" s="140" t="str">
        <f>IF(E434="","",VLOOKUP('Opći dio'!$C$3,'Opći dio'!$L$6:$U$136,10,FALSE))</f>
        <v/>
      </c>
      <c r="B434" s="140" t="str">
        <f>IF(E434="","",VLOOKUP('Opći dio'!$C$3,'Opći dio'!$L$6:$U$136,9,FALSE))</f>
        <v/>
      </c>
      <c r="C434" s="200" t="str">
        <f t="shared" si="34"/>
        <v/>
      </c>
      <c r="D434" s="139" t="str">
        <f t="shared" si="35"/>
        <v/>
      </c>
      <c r="E434" s="151"/>
      <c r="F434" s="204" t="str">
        <f t="shared" si="36"/>
        <v/>
      </c>
      <c r="G434" s="196"/>
      <c r="H434" s="196"/>
      <c r="I434" s="196"/>
      <c r="K434" s="142" t="str">
        <f t="shared" si="37"/>
        <v/>
      </c>
      <c r="L434" s="142" t="str">
        <f t="shared" si="38"/>
        <v/>
      </c>
    </row>
    <row r="435" spans="1:12">
      <c r="A435" s="140" t="str">
        <f>IF(E435="","",VLOOKUP('Opći dio'!$C$3,'Opći dio'!$L$6:$U$136,10,FALSE))</f>
        <v/>
      </c>
      <c r="B435" s="140" t="str">
        <f>IF(E435="","",VLOOKUP('Opći dio'!$C$3,'Opći dio'!$L$6:$U$136,9,FALSE))</f>
        <v/>
      </c>
      <c r="C435" s="200" t="str">
        <f t="shared" si="34"/>
        <v/>
      </c>
      <c r="D435" s="139" t="str">
        <f t="shared" si="35"/>
        <v/>
      </c>
      <c r="E435" s="151"/>
      <c r="F435" s="204" t="str">
        <f t="shared" si="36"/>
        <v/>
      </c>
      <c r="G435" s="196"/>
      <c r="H435" s="196"/>
      <c r="I435" s="196"/>
      <c r="K435" s="142" t="str">
        <f t="shared" si="37"/>
        <v/>
      </c>
      <c r="L435" s="142" t="str">
        <f t="shared" si="38"/>
        <v/>
      </c>
    </row>
    <row r="436" spans="1:12">
      <c r="A436" s="140" t="str">
        <f>IF(E436="","",VLOOKUP('Opći dio'!$C$3,'Opći dio'!$L$6:$U$136,10,FALSE))</f>
        <v/>
      </c>
      <c r="B436" s="140" t="str">
        <f>IF(E436="","",VLOOKUP('Opći dio'!$C$3,'Opći dio'!$L$6:$U$136,9,FALSE))</f>
        <v/>
      </c>
      <c r="C436" s="200" t="str">
        <f t="shared" si="34"/>
        <v/>
      </c>
      <c r="D436" s="139" t="str">
        <f t="shared" si="35"/>
        <v/>
      </c>
      <c r="E436" s="151"/>
      <c r="F436" s="204" t="str">
        <f t="shared" si="36"/>
        <v/>
      </c>
      <c r="G436" s="196"/>
      <c r="H436" s="196"/>
      <c r="I436" s="196"/>
      <c r="K436" s="142" t="str">
        <f t="shared" si="37"/>
        <v/>
      </c>
      <c r="L436" s="142" t="str">
        <f t="shared" si="38"/>
        <v/>
      </c>
    </row>
    <row r="437" spans="1:12">
      <c r="A437" s="140" t="str">
        <f>IF(E437="","",VLOOKUP('Opći dio'!$C$3,'Opći dio'!$L$6:$U$136,10,FALSE))</f>
        <v/>
      </c>
      <c r="B437" s="140" t="str">
        <f>IF(E437="","",VLOOKUP('Opći dio'!$C$3,'Opći dio'!$L$6:$U$136,9,FALSE))</f>
        <v/>
      </c>
      <c r="C437" s="200" t="str">
        <f t="shared" si="34"/>
        <v/>
      </c>
      <c r="D437" s="139" t="str">
        <f t="shared" si="35"/>
        <v/>
      </c>
      <c r="E437" s="151"/>
      <c r="F437" s="204" t="str">
        <f t="shared" si="36"/>
        <v/>
      </c>
      <c r="G437" s="196"/>
      <c r="H437" s="196"/>
      <c r="I437" s="196"/>
      <c r="K437" s="142" t="str">
        <f t="shared" si="37"/>
        <v/>
      </c>
      <c r="L437" s="142" t="str">
        <f t="shared" si="38"/>
        <v/>
      </c>
    </row>
    <row r="438" spans="1:12">
      <c r="A438" s="140" t="str">
        <f>IF(E438="","",VLOOKUP('Opći dio'!$C$3,'Opći dio'!$L$6:$U$136,10,FALSE))</f>
        <v/>
      </c>
      <c r="B438" s="140" t="str">
        <f>IF(E438="","",VLOOKUP('Opći dio'!$C$3,'Opći dio'!$L$6:$U$136,9,FALSE))</f>
        <v/>
      </c>
      <c r="C438" s="200" t="str">
        <f t="shared" si="34"/>
        <v/>
      </c>
      <c r="D438" s="139" t="str">
        <f t="shared" si="35"/>
        <v/>
      </c>
      <c r="E438" s="151"/>
      <c r="F438" s="204" t="str">
        <f t="shared" si="36"/>
        <v/>
      </c>
      <c r="G438" s="196"/>
      <c r="H438" s="196"/>
      <c r="I438" s="196"/>
      <c r="K438" s="142" t="str">
        <f t="shared" si="37"/>
        <v/>
      </c>
      <c r="L438" s="142" t="str">
        <f t="shared" si="38"/>
        <v/>
      </c>
    </row>
    <row r="439" spans="1:12">
      <c r="A439" s="140" t="str">
        <f>IF(E439="","",VLOOKUP('Opći dio'!$C$3,'Opći dio'!$L$6:$U$136,10,FALSE))</f>
        <v/>
      </c>
      <c r="B439" s="140" t="str">
        <f>IF(E439="","",VLOOKUP('Opći dio'!$C$3,'Opći dio'!$L$6:$U$136,9,FALSE))</f>
        <v/>
      </c>
      <c r="C439" s="200" t="str">
        <f t="shared" si="34"/>
        <v/>
      </c>
      <c r="D439" s="139" t="str">
        <f t="shared" si="35"/>
        <v/>
      </c>
      <c r="E439" s="151"/>
      <c r="F439" s="204" t="str">
        <f t="shared" si="36"/>
        <v/>
      </c>
      <c r="G439" s="196"/>
      <c r="H439" s="196"/>
      <c r="I439" s="196"/>
      <c r="K439" s="142" t="str">
        <f t="shared" si="37"/>
        <v/>
      </c>
      <c r="L439" s="142" t="str">
        <f t="shared" si="38"/>
        <v/>
      </c>
    </row>
    <row r="440" spans="1:12">
      <c r="A440" s="140" t="str">
        <f>IF(E440="","",VLOOKUP('Opći dio'!$C$3,'Opći dio'!$L$6:$U$136,10,FALSE))</f>
        <v/>
      </c>
      <c r="B440" s="140" t="str">
        <f>IF(E440="","",VLOOKUP('Opći dio'!$C$3,'Opći dio'!$L$6:$U$136,9,FALSE))</f>
        <v/>
      </c>
      <c r="C440" s="200" t="str">
        <f t="shared" si="34"/>
        <v/>
      </c>
      <c r="D440" s="139" t="str">
        <f t="shared" si="35"/>
        <v/>
      </c>
      <c r="E440" s="151"/>
      <c r="F440" s="204" t="str">
        <f t="shared" si="36"/>
        <v/>
      </c>
      <c r="G440" s="196"/>
      <c r="H440" s="196"/>
      <c r="I440" s="196"/>
      <c r="K440" s="142" t="str">
        <f t="shared" si="37"/>
        <v/>
      </c>
      <c r="L440" s="142" t="str">
        <f t="shared" si="38"/>
        <v/>
      </c>
    </row>
    <row r="441" spans="1:12">
      <c r="A441" s="140" t="str">
        <f>IF(E441="","",VLOOKUP('Opći dio'!$C$3,'Opći dio'!$L$6:$U$136,10,FALSE))</f>
        <v/>
      </c>
      <c r="B441" s="140" t="str">
        <f>IF(E441="","",VLOOKUP('Opći dio'!$C$3,'Opći dio'!$L$6:$U$136,9,FALSE))</f>
        <v/>
      </c>
      <c r="C441" s="200" t="str">
        <f t="shared" si="34"/>
        <v/>
      </c>
      <c r="D441" s="139" t="str">
        <f t="shared" si="35"/>
        <v/>
      </c>
      <c r="E441" s="151"/>
      <c r="F441" s="204" t="str">
        <f t="shared" si="36"/>
        <v/>
      </c>
      <c r="G441" s="196"/>
      <c r="H441" s="196"/>
      <c r="I441" s="196"/>
      <c r="K441" s="142" t="str">
        <f t="shared" si="37"/>
        <v/>
      </c>
      <c r="L441" s="142" t="str">
        <f t="shared" si="38"/>
        <v/>
      </c>
    </row>
    <row r="442" spans="1:12">
      <c r="A442" s="140" t="str">
        <f>IF(E442="","",VLOOKUP('Opći dio'!$C$3,'Opći dio'!$L$6:$U$136,10,FALSE))</f>
        <v/>
      </c>
      <c r="B442" s="140" t="str">
        <f>IF(E442="","",VLOOKUP('Opći dio'!$C$3,'Opći dio'!$L$6:$U$136,9,FALSE))</f>
        <v/>
      </c>
      <c r="C442" s="200" t="str">
        <f t="shared" si="34"/>
        <v/>
      </c>
      <c r="D442" s="139" t="str">
        <f t="shared" si="35"/>
        <v/>
      </c>
      <c r="E442" s="151"/>
      <c r="F442" s="204" t="str">
        <f t="shared" si="36"/>
        <v/>
      </c>
      <c r="G442" s="196"/>
      <c r="H442" s="196"/>
      <c r="I442" s="196"/>
      <c r="K442" s="142" t="str">
        <f t="shared" si="37"/>
        <v/>
      </c>
      <c r="L442" s="142" t="str">
        <f t="shared" si="38"/>
        <v/>
      </c>
    </row>
    <row r="443" spans="1:12">
      <c r="A443" s="140" t="str">
        <f>IF(E443="","",VLOOKUP('Opći dio'!$C$3,'Opći dio'!$L$6:$U$136,10,FALSE))</f>
        <v/>
      </c>
      <c r="B443" s="140" t="str">
        <f>IF(E443="","",VLOOKUP('Opći dio'!$C$3,'Opći dio'!$L$6:$U$136,9,FALSE))</f>
        <v/>
      </c>
      <c r="C443" s="200" t="str">
        <f t="shared" si="34"/>
        <v/>
      </c>
      <c r="D443" s="139" t="str">
        <f t="shared" si="35"/>
        <v/>
      </c>
      <c r="E443" s="151"/>
      <c r="F443" s="204" t="str">
        <f t="shared" si="36"/>
        <v/>
      </c>
      <c r="G443" s="196"/>
      <c r="H443" s="196"/>
      <c r="I443" s="196"/>
      <c r="K443" s="142" t="str">
        <f t="shared" si="37"/>
        <v/>
      </c>
      <c r="L443" s="142" t="str">
        <f t="shared" si="38"/>
        <v/>
      </c>
    </row>
    <row r="444" spans="1:12">
      <c r="A444" s="140" t="str">
        <f>IF(E444="","",VLOOKUP('Opći dio'!$C$3,'Opći dio'!$L$6:$U$136,10,FALSE))</f>
        <v/>
      </c>
      <c r="B444" s="140" t="str">
        <f>IF(E444="","",VLOOKUP('Opći dio'!$C$3,'Opći dio'!$L$6:$U$136,9,FALSE))</f>
        <v/>
      </c>
      <c r="C444" s="200" t="str">
        <f t="shared" si="34"/>
        <v/>
      </c>
      <c r="D444" s="139" t="str">
        <f t="shared" si="35"/>
        <v/>
      </c>
      <c r="E444" s="151"/>
      <c r="F444" s="204" t="str">
        <f t="shared" si="36"/>
        <v/>
      </c>
      <c r="G444" s="196"/>
      <c r="H444" s="196"/>
      <c r="I444" s="196"/>
      <c r="K444" s="142" t="str">
        <f t="shared" si="37"/>
        <v/>
      </c>
      <c r="L444" s="142" t="str">
        <f t="shared" si="38"/>
        <v/>
      </c>
    </row>
    <row r="445" spans="1:12">
      <c r="A445" s="140" t="str">
        <f>IF(E445="","",VLOOKUP('Opći dio'!$C$3,'Opći dio'!$L$6:$U$136,10,FALSE))</f>
        <v/>
      </c>
      <c r="B445" s="140" t="str">
        <f>IF(E445="","",VLOOKUP('Opći dio'!$C$3,'Opći dio'!$L$6:$U$136,9,FALSE))</f>
        <v/>
      </c>
      <c r="C445" s="200" t="str">
        <f t="shared" si="34"/>
        <v/>
      </c>
      <c r="D445" s="139" t="str">
        <f t="shared" si="35"/>
        <v/>
      </c>
      <c r="E445" s="151"/>
      <c r="F445" s="204" t="str">
        <f t="shared" si="36"/>
        <v/>
      </c>
      <c r="G445" s="196"/>
      <c r="H445" s="196"/>
      <c r="I445" s="196"/>
      <c r="K445" s="142" t="str">
        <f t="shared" si="37"/>
        <v/>
      </c>
      <c r="L445" s="142" t="str">
        <f t="shared" si="38"/>
        <v/>
      </c>
    </row>
    <row r="446" spans="1:12">
      <c r="A446" s="140" t="str">
        <f>IF(E446="","",VLOOKUP('Opći dio'!$C$3,'Opći dio'!$L$6:$U$136,10,FALSE))</f>
        <v/>
      </c>
      <c r="B446" s="140" t="str">
        <f>IF(E446="","",VLOOKUP('Opći dio'!$C$3,'Opći dio'!$L$6:$U$136,9,FALSE))</f>
        <v/>
      </c>
      <c r="C446" s="200" t="str">
        <f t="shared" si="34"/>
        <v/>
      </c>
      <c r="D446" s="139" t="str">
        <f t="shared" si="35"/>
        <v/>
      </c>
      <c r="E446" s="151"/>
      <c r="F446" s="204" t="str">
        <f t="shared" si="36"/>
        <v/>
      </c>
      <c r="G446" s="196"/>
      <c r="H446" s="196"/>
      <c r="I446" s="196"/>
      <c r="K446" s="142" t="str">
        <f t="shared" si="37"/>
        <v/>
      </c>
      <c r="L446" s="142" t="str">
        <f t="shared" si="38"/>
        <v/>
      </c>
    </row>
    <row r="447" spans="1:12">
      <c r="A447" s="140" t="str">
        <f>IF(E447="","",VLOOKUP('Opći dio'!$C$3,'Opći dio'!$L$6:$U$136,10,FALSE))</f>
        <v/>
      </c>
      <c r="B447" s="140" t="str">
        <f>IF(E447="","",VLOOKUP('Opći dio'!$C$3,'Opći dio'!$L$6:$U$136,9,FALSE))</f>
        <v/>
      </c>
      <c r="C447" s="200" t="str">
        <f t="shared" si="34"/>
        <v/>
      </c>
      <c r="D447" s="139" t="str">
        <f t="shared" si="35"/>
        <v/>
      </c>
      <c r="E447" s="151"/>
      <c r="F447" s="204" t="str">
        <f t="shared" si="36"/>
        <v/>
      </c>
      <c r="G447" s="196"/>
      <c r="H447" s="196"/>
      <c r="I447" s="196"/>
      <c r="K447" s="142" t="str">
        <f t="shared" si="37"/>
        <v/>
      </c>
      <c r="L447" s="142" t="str">
        <f t="shared" si="38"/>
        <v/>
      </c>
    </row>
    <row r="448" spans="1:12">
      <c r="A448" s="140" t="str">
        <f>IF(E448="","",VLOOKUP('Opći dio'!$C$3,'Opći dio'!$L$6:$U$136,10,FALSE))</f>
        <v/>
      </c>
      <c r="B448" s="140" t="str">
        <f>IF(E448="","",VLOOKUP('Opći dio'!$C$3,'Opći dio'!$L$6:$U$136,9,FALSE))</f>
        <v/>
      </c>
      <c r="C448" s="200" t="str">
        <f t="shared" si="34"/>
        <v/>
      </c>
      <c r="D448" s="139" t="str">
        <f t="shared" si="35"/>
        <v/>
      </c>
      <c r="E448" s="151"/>
      <c r="F448" s="204" t="str">
        <f t="shared" si="36"/>
        <v/>
      </c>
      <c r="G448" s="196"/>
      <c r="H448" s="196"/>
      <c r="I448" s="196"/>
      <c r="K448" s="142" t="str">
        <f t="shared" si="37"/>
        <v/>
      </c>
      <c r="L448" s="142" t="str">
        <f t="shared" si="38"/>
        <v/>
      </c>
    </row>
    <row r="449" spans="1:12">
      <c r="A449" s="140" t="str">
        <f>IF(E449="","",VLOOKUP('Opći dio'!$C$3,'Opći dio'!$L$6:$U$136,10,FALSE))</f>
        <v/>
      </c>
      <c r="B449" s="140" t="str">
        <f>IF(E449="","",VLOOKUP('Opći dio'!$C$3,'Opći dio'!$L$6:$U$136,9,FALSE))</f>
        <v/>
      </c>
      <c r="C449" s="200" t="str">
        <f t="shared" si="34"/>
        <v/>
      </c>
      <c r="D449" s="139" t="str">
        <f t="shared" si="35"/>
        <v/>
      </c>
      <c r="E449" s="151"/>
      <c r="F449" s="204" t="str">
        <f t="shared" si="36"/>
        <v/>
      </c>
      <c r="G449" s="196"/>
      <c r="H449" s="196"/>
      <c r="I449" s="196"/>
      <c r="K449" s="142" t="str">
        <f t="shared" si="37"/>
        <v/>
      </c>
      <c r="L449" s="142" t="str">
        <f t="shared" si="38"/>
        <v/>
      </c>
    </row>
    <row r="450" spans="1:12">
      <c r="A450" s="140" t="str">
        <f>IF(E450="","",VLOOKUP('Opći dio'!$C$3,'Opći dio'!$L$6:$U$136,10,FALSE))</f>
        <v/>
      </c>
      <c r="B450" s="140" t="str">
        <f>IF(E450="","",VLOOKUP('Opći dio'!$C$3,'Opći dio'!$L$6:$U$136,9,FALSE))</f>
        <v/>
      </c>
      <c r="C450" s="200" t="str">
        <f t="shared" si="34"/>
        <v/>
      </c>
      <c r="D450" s="139" t="str">
        <f t="shared" si="35"/>
        <v/>
      </c>
      <c r="E450" s="151"/>
      <c r="F450" s="204" t="str">
        <f t="shared" si="36"/>
        <v/>
      </c>
      <c r="G450" s="196"/>
      <c r="H450" s="196"/>
      <c r="I450" s="196"/>
      <c r="K450" s="142" t="str">
        <f t="shared" si="37"/>
        <v/>
      </c>
      <c r="L450" s="142" t="str">
        <f t="shared" si="38"/>
        <v/>
      </c>
    </row>
    <row r="451" spans="1:12">
      <c r="A451" s="140" t="str">
        <f>IF(E451="","",VLOOKUP('Opći dio'!$C$3,'Opći dio'!$L$6:$U$136,10,FALSE))</f>
        <v/>
      </c>
      <c r="B451" s="140" t="str">
        <f>IF(E451="","",VLOOKUP('Opći dio'!$C$3,'Opći dio'!$L$6:$U$136,9,FALSE))</f>
        <v/>
      </c>
      <c r="C451" s="200" t="str">
        <f t="shared" si="34"/>
        <v/>
      </c>
      <c r="D451" s="139" t="str">
        <f t="shared" si="35"/>
        <v/>
      </c>
      <c r="E451" s="151"/>
      <c r="F451" s="204" t="str">
        <f t="shared" si="36"/>
        <v/>
      </c>
      <c r="G451" s="196"/>
      <c r="H451" s="196"/>
      <c r="I451" s="196"/>
      <c r="K451" s="142" t="str">
        <f t="shared" si="37"/>
        <v/>
      </c>
      <c r="L451" s="142" t="str">
        <f t="shared" si="38"/>
        <v/>
      </c>
    </row>
    <row r="452" spans="1:12">
      <c r="A452" s="140" t="str">
        <f>IF(E452="","",VLOOKUP('Opći dio'!$C$3,'Opći dio'!$L$6:$U$136,10,FALSE))</f>
        <v/>
      </c>
      <c r="B452" s="140" t="str">
        <f>IF(E452="","",VLOOKUP('Opći dio'!$C$3,'Opći dio'!$L$6:$U$136,9,FALSE))</f>
        <v/>
      </c>
      <c r="C452" s="200" t="str">
        <f t="shared" ref="C452:C501" si="39">IFERROR(VLOOKUP(E452,$Q$6:$T$90,3,FALSE),"")</f>
        <v/>
      </c>
      <c r="D452" s="139" t="str">
        <f t="shared" ref="D452:D501" si="40">IFERROR(VLOOKUP(E452,$Q$6:$T$90,4,FALSE),"")</f>
        <v/>
      </c>
      <c r="E452" s="151"/>
      <c r="F452" s="204" t="str">
        <f t="shared" ref="F452:F501" si="41">IFERROR(VLOOKUP(E452,$Q$6:$T$90,2,FALSE),"")</f>
        <v/>
      </c>
      <c r="G452" s="196"/>
      <c r="H452" s="196"/>
      <c r="I452" s="196"/>
      <c r="K452" s="142" t="str">
        <f t="shared" ref="K452:K501" si="42">LEFT(E452,3)</f>
        <v/>
      </c>
      <c r="L452" s="142" t="str">
        <f t="shared" ref="L452:L501" si="43">LEFT(E452,2)</f>
        <v/>
      </c>
    </row>
    <row r="453" spans="1:12">
      <c r="A453" s="140" t="str">
        <f>IF(E453="","",VLOOKUP('Opći dio'!$C$3,'Opći dio'!$L$6:$U$136,10,FALSE))</f>
        <v/>
      </c>
      <c r="B453" s="140" t="str">
        <f>IF(E453="","",VLOOKUP('Opći dio'!$C$3,'Opći dio'!$L$6:$U$136,9,FALSE))</f>
        <v/>
      </c>
      <c r="C453" s="200" t="str">
        <f t="shared" si="39"/>
        <v/>
      </c>
      <c r="D453" s="139" t="str">
        <f t="shared" si="40"/>
        <v/>
      </c>
      <c r="E453" s="151"/>
      <c r="F453" s="204" t="str">
        <f t="shared" si="41"/>
        <v/>
      </c>
      <c r="G453" s="196"/>
      <c r="H453" s="196"/>
      <c r="I453" s="196"/>
      <c r="K453" s="142" t="str">
        <f t="shared" si="42"/>
        <v/>
      </c>
      <c r="L453" s="142" t="str">
        <f t="shared" si="43"/>
        <v/>
      </c>
    </row>
    <row r="454" spans="1:12">
      <c r="A454" s="140" t="str">
        <f>IF(E454="","",VLOOKUP('Opći dio'!$C$3,'Opći dio'!$L$6:$U$136,10,FALSE))</f>
        <v/>
      </c>
      <c r="B454" s="140" t="str">
        <f>IF(E454="","",VLOOKUP('Opći dio'!$C$3,'Opći dio'!$L$6:$U$136,9,FALSE))</f>
        <v/>
      </c>
      <c r="C454" s="200" t="str">
        <f t="shared" si="39"/>
        <v/>
      </c>
      <c r="D454" s="139" t="str">
        <f t="shared" si="40"/>
        <v/>
      </c>
      <c r="E454" s="151"/>
      <c r="F454" s="204" t="str">
        <f t="shared" si="41"/>
        <v/>
      </c>
      <c r="G454" s="196"/>
      <c r="H454" s="196"/>
      <c r="I454" s="196"/>
      <c r="K454" s="142" t="str">
        <f t="shared" si="42"/>
        <v/>
      </c>
      <c r="L454" s="142" t="str">
        <f t="shared" si="43"/>
        <v/>
      </c>
    </row>
    <row r="455" spans="1:12">
      <c r="A455" s="140" t="str">
        <f>IF(E455="","",VLOOKUP('Opći dio'!$C$3,'Opći dio'!$L$6:$U$136,10,FALSE))</f>
        <v/>
      </c>
      <c r="B455" s="140" t="str">
        <f>IF(E455="","",VLOOKUP('Opći dio'!$C$3,'Opći dio'!$L$6:$U$136,9,FALSE))</f>
        <v/>
      </c>
      <c r="C455" s="200" t="str">
        <f t="shared" si="39"/>
        <v/>
      </c>
      <c r="D455" s="139" t="str">
        <f t="shared" si="40"/>
        <v/>
      </c>
      <c r="E455" s="151"/>
      <c r="F455" s="204" t="str">
        <f t="shared" si="41"/>
        <v/>
      </c>
      <c r="G455" s="196"/>
      <c r="H455" s="196"/>
      <c r="I455" s="196"/>
      <c r="K455" s="142" t="str">
        <f t="shared" si="42"/>
        <v/>
      </c>
      <c r="L455" s="142" t="str">
        <f t="shared" si="43"/>
        <v/>
      </c>
    </row>
    <row r="456" spans="1:12">
      <c r="A456" s="140" t="str">
        <f>IF(E456="","",VLOOKUP('Opći dio'!$C$3,'Opći dio'!$L$6:$U$136,10,FALSE))</f>
        <v/>
      </c>
      <c r="B456" s="140" t="str">
        <f>IF(E456="","",VLOOKUP('Opći dio'!$C$3,'Opći dio'!$L$6:$U$136,9,FALSE))</f>
        <v/>
      </c>
      <c r="C456" s="200" t="str">
        <f t="shared" si="39"/>
        <v/>
      </c>
      <c r="D456" s="139" t="str">
        <f t="shared" si="40"/>
        <v/>
      </c>
      <c r="E456" s="151"/>
      <c r="F456" s="204" t="str">
        <f t="shared" si="41"/>
        <v/>
      </c>
      <c r="G456" s="196"/>
      <c r="H456" s="196"/>
      <c r="I456" s="196"/>
      <c r="K456" s="142" t="str">
        <f t="shared" si="42"/>
        <v/>
      </c>
      <c r="L456" s="142" t="str">
        <f t="shared" si="43"/>
        <v/>
      </c>
    </row>
    <row r="457" spans="1:12">
      <c r="A457" s="140" t="str">
        <f>IF(E457="","",VLOOKUP('Opći dio'!$C$3,'Opći dio'!$L$6:$U$136,10,FALSE))</f>
        <v/>
      </c>
      <c r="B457" s="140" t="str">
        <f>IF(E457="","",VLOOKUP('Opći dio'!$C$3,'Opći dio'!$L$6:$U$136,9,FALSE))</f>
        <v/>
      </c>
      <c r="C457" s="200" t="str">
        <f t="shared" si="39"/>
        <v/>
      </c>
      <c r="D457" s="139" t="str">
        <f t="shared" si="40"/>
        <v/>
      </c>
      <c r="E457" s="151"/>
      <c r="F457" s="204" t="str">
        <f t="shared" si="41"/>
        <v/>
      </c>
      <c r="G457" s="196"/>
      <c r="H457" s="196"/>
      <c r="I457" s="196"/>
      <c r="K457" s="142" t="str">
        <f t="shared" si="42"/>
        <v/>
      </c>
      <c r="L457" s="142" t="str">
        <f t="shared" si="43"/>
        <v/>
      </c>
    </row>
    <row r="458" spans="1:12">
      <c r="A458" s="140" t="str">
        <f>IF(E458="","",VLOOKUP('Opći dio'!$C$3,'Opći dio'!$L$6:$U$136,10,FALSE))</f>
        <v/>
      </c>
      <c r="B458" s="140" t="str">
        <f>IF(E458="","",VLOOKUP('Opći dio'!$C$3,'Opći dio'!$L$6:$U$136,9,FALSE))</f>
        <v/>
      </c>
      <c r="C458" s="200" t="str">
        <f t="shared" si="39"/>
        <v/>
      </c>
      <c r="D458" s="139" t="str">
        <f t="shared" si="40"/>
        <v/>
      </c>
      <c r="E458" s="151"/>
      <c r="F458" s="204" t="str">
        <f t="shared" si="41"/>
        <v/>
      </c>
      <c r="G458" s="196"/>
      <c r="H458" s="196"/>
      <c r="I458" s="196"/>
      <c r="K458" s="142" t="str">
        <f t="shared" si="42"/>
        <v/>
      </c>
      <c r="L458" s="142" t="str">
        <f t="shared" si="43"/>
        <v/>
      </c>
    </row>
    <row r="459" spans="1:12">
      <c r="A459" s="140" t="str">
        <f>IF(E459="","",VLOOKUP('Opći dio'!$C$3,'Opći dio'!$L$6:$U$136,10,FALSE))</f>
        <v/>
      </c>
      <c r="B459" s="140" t="str">
        <f>IF(E459="","",VLOOKUP('Opći dio'!$C$3,'Opći dio'!$L$6:$U$136,9,FALSE))</f>
        <v/>
      </c>
      <c r="C459" s="200" t="str">
        <f t="shared" si="39"/>
        <v/>
      </c>
      <c r="D459" s="139" t="str">
        <f t="shared" si="40"/>
        <v/>
      </c>
      <c r="E459" s="151"/>
      <c r="F459" s="204" t="str">
        <f t="shared" si="41"/>
        <v/>
      </c>
      <c r="G459" s="196"/>
      <c r="H459" s="196"/>
      <c r="I459" s="196"/>
      <c r="K459" s="142" t="str">
        <f t="shared" si="42"/>
        <v/>
      </c>
      <c r="L459" s="142" t="str">
        <f t="shared" si="43"/>
        <v/>
      </c>
    </row>
    <row r="460" spans="1:12">
      <c r="A460" s="140" t="str">
        <f>IF(E460="","",VLOOKUP('Opći dio'!$C$3,'Opći dio'!$L$6:$U$136,10,FALSE))</f>
        <v/>
      </c>
      <c r="B460" s="140" t="str">
        <f>IF(E460="","",VLOOKUP('Opći dio'!$C$3,'Opći dio'!$L$6:$U$136,9,FALSE))</f>
        <v/>
      </c>
      <c r="C460" s="200" t="str">
        <f t="shared" si="39"/>
        <v/>
      </c>
      <c r="D460" s="139" t="str">
        <f t="shared" si="40"/>
        <v/>
      </c>
      <c r="E460" s="151"/>
      <c r="F460" s="204" t="str">
        <f t="shared" si="41"/>
        <v/>
      </c>
      <c r="G460" s="196"/>
      <c r="H460" s="196"/>
      <c r="I460" s="196"/>
      <c r="K460" s="142" t="str">
        <f t="shared" si="42"/>
        <v/>
      </c>
      <c r="L460" s="142" t="str">
        <f t="shared" si="43"/>
        <v/>
      </c>
    </row>
    <row r="461" spans="1:12">
      <c r="A461" s="140" t="str">
        <f>IF(E461="","",VLOOKUP('Opći dio'!$C$3,'Opći dio'!$L$6:$U$136,10,FALSE))</f>
        <v/>
      </c>
      <c r="B461" s="140" t="str">
        <f>IF(E461="","",VLOOKUP('Opći dio'!$C$3,'Opći dio'!$L$6:$U$136,9,FALSE))</f>
        <v/>
      </c>
      <c r="C461" s="200" t="str">
        <f t="shared" si="39"/>
        <v/>
      </c>
      <c r="D461" s="139" t="str">
        <f t="shared" si="40"/>
        <v/>
      </c>
      <c r="E461" s="151"/>
      <c r="F461" s="204" t="str">
        <f t="shared" si="41"/>
        <v/>
      </c>
      <c r="G461" s="196"/>
      <c r="H461" s="196"/>
      <c r="I461" s="196"/>
      <c r="K461" s="142" t="str">
        <f t="shared" si="42"/>
        <v/>
      </c>
      <c r="L461" s="142" t="str">
        <f t="shared" si="43"/>
        <v/>
      </c>
    </row>
    <row r="462" spans="1:12">
      <c r="A462" s="140" t="str">
        <f>IF(E462="","",VLOOKUP('Opći dio'!$C$3,'Opći dio'!$L$6:$U$136,10,FALSE))</f>
        <v/>
      </c>
      <c r="B462" s="140" t="str">
        <f>IF(E462="","",VLOOKUP('Opći dio'!$C$3,'Opći dio'!$L$6:$U$136,9,FALSE))</f>
        <v/>
      </c>
      <c r="C462" s="200" t="str">
        <f t="shared" si="39"/>
        <v/>
      </c>
      <c r="D462" s="139" t="str">
        <f t="shared" si="40"/>
        <v/>
      </c>
      <c r="E462" s="151"/>
      <c r="F462" s="204" t="str">
        <f t="shared" si="41"/>
        <v/>
      </c>
      <c r="G462" s="196"/>
      <c r="H462" s="196"/>
      <c r="I462" s="196"/>
      <c r="K462" s="142" t="str">
        <f t="shared" si="42"/>
        <v/>
      </c>
      <c r="L462" s="142" t="str">
        <f t="shared" si="43"/>
        <v/>
      </c>
    </row>
    <row r="463" spans="1:12">
      <c r="A463" s="140" t="str">
        <f>IF(E463="","",VLOOKUP('Opći dio'!$C$3,'Opći dio'!$L$6:$U$136,10,FALSE))</f>
        <v/>
      </c>
      <c r="B463" s="140" t="str">
        <f>IF(E463="","",VLOOKUP('Opći dio'!$C$3,'Opći dio'!$L$6:$U$136,9,FALSE))</f>
        <v/>
      </c>
      <c r="C463" s="200" t="str">
        <f t="shared" si="39"/>
        <v/>
      </c>
      <c r="D463" s="139" t="str">
        <f t="shared" si="40"/>
        <v/>
      </c>
      <c r="E463" s="151"/>
      <c r="F463" s="204" t="str">
        <f t="shared" si="41"/>
        <v/>
      </c>
      <c r="G463" s="196"/>
      <c r="H463" s="196"/>
      <c r="I463" s="196"/>
      <c r="K463" s="142" t="str">
        <f t="shared" si="42"/>
        <v/>
      </c>
      <c r="L463" s="142" t="str">
        <f t="shared" si="43"/>
        <v/>
      </c>
    </row>
    <row r="464" spans="1:12">
      <c r="A464" s="140" t="str">
        <f>IF(E464="","",VLOOKUP('Opći dio'!$C$3,'Opći dio'!$L$6:$U$136,10,FALSE))</f>
        <v/>
      </c>
      <c r="B464" s="140" t="str">
        <f>IF(E464="","",VLOOKUP('Opći dio'!$C$3,'Opći dio'!$L$6:$U$136,9,FALSE))</f>
        <v/>
      </c>
      <c r="C464" s="200" t="str">
        <f t="shared" si="39"/>
        <v/>
      </c>
      <c r="D464" s="139" t="str">
        <f t="shared" si="40"/>
        <v/>
      </c>
      <c r="E464" s="151"/>
      <c r="F464" s="204" t="str">
        <f t="shared" si="41"/>
        <v/>
      </c>
      <c r="G464" s="196"/>
      <c r="H464" s="196"/>
      <c r="I464" s="196"/>
      <c r="K464" s="142" t="str">
        <f t="shared" si="42"/>
        <v/>
      </c>
      <c r="L464" s="142" t="str">
        <f t="shared" si="43"/>
        <v/>
      </c>
    </row>
    <row r="465" spans="1:12">
      <c r="A465" s="140" t="str">
        <f>IF(E465="","",VLOOKUP('Opći dio'!$C$3,'Opći dio'!$L$6:$U$136,10,FALSE))</f>
        <v/>
      </c>
      <c r="B465" s="140" t="str">
        <f>IF(E465="","",VLOOKUP('Opći dio'!$C$3,'Opći dio'!$L$6:$U$136,9,FALSE))</f>
        <v/>
      </c>
      <c r="C465" s="200" t="str">
        <f t="shared" si="39"/>
        <v/>
      </c>
      <c r="D465" s="139" t="str">
        <f t="shared" si="40"/>
        <v/>
      </c>
      <c r="E465" s="151"/>
      <c r="F465" s="204" t="str">
        <f t="shared" si="41"/>
        <v/>
      </c>
      <c r="G465" s="196"/>
      <c r="H465" s="196"/>
      <c r="I465" s="196"/>
      <c r="K465" s="142" t="str">
        <f t="shared" si="42"/>
        <v/>
      </c>
      <c r="L465" s="142" t="str">
        <f t="shared" si="43"/>
        <v/>
      </c>
    </row>
    <row r="466" spans="1:12">
      <c r="A466" s="140" t="str">
        <f>IF(E466="","",VLOOKUP('Opći dio'!$C$3,'Opći dio'!$L$6:$U$136,10,FALSE))</f>
        <v/>
      </c>
      <c r="B466" s="140" t="str">
        <f>IF(E466="","",VLOOKUP('Opći dio'!$C$3,'Opći dio'!$L$6:$U$136,9,FALSE))</f>
        <v/>
      </c>
      <c r="C466" s="200" t="str">
        <f t="shared" si="39"/>
        <v/>
      </c>
      <c r="D466" s="139" t="str">
        <f t="shared" si="40"/>
        <v/>
      </c>
      <c r="E466" s="151"/>
      <c r="F466" s="204" t="str">
        <f t="shared" si="41"/>
        <v/>
      </c>
      <c r="G466" s="196"/>
      <c r="H466" s="196"/>
      <c r="I466" s="196"/>
      <c r="K466" s="142" t="str">
        <f t="shared" si="42"/>
        <v/>
      </c>
      <c r="L466" s="142" t="str">
        <f t="shared" si="43"/>
        <v/>
      </c>
    </row>
    <row r="467" spans="1:12">
      <c r="A467" s="140" t="str">
        <f>IF(E467="","",VLOOKUP('Opći dio'!$C$3,'Opći dio'!$L$6:$U$136,10,FALSE))</f>
        <v/>
      </c>
      <c r="B467" s="140" t="str">
        <f>IF(E467="","",VLOOKUP('Opći dio'!$C$3,'Opći dio'!$L$6:$U$136,9,FALSE))</f>
        <v/>
      </c>
      <c r="C467" s="200" t="str">
        <f t="shared" si="39"/>
        <v/>
      </c>
      <c r="D467" s="139" t="str">
        <f t="shared" si="40"/>
        <v/>
      </c>
      <c r="E467" s="151"/>
      <c r="F467" s="204" t="str">
        <f t="shared" si="41"/>
        <v/>
      </c>
      <c r="G467" s="196"/>
      <c r="H467" s="196"/>
      <c r="I467" s="196"/>
      <c r="K467" s="142" t="str">
        <f t="shared" si="42"/>
        <v/>
      </c>
      <c r="L467" s="142" t="str">
        <f t="shared" si="43"/>
        <v/>
      </c>
    </row>
    <row r="468" spans="1:12">
      <c r="A468" s="140" t="str">
        <f>IF(E468="","",VLOOKUP('Opći dio'!$C$3,'Opći dio'!$L$6:$U$136,10,FALSE))</f>
        <v/>
      </c>
      <c r="B468" s="140" t="str">
        <f>IF(E468="","",VLOOKUP('Opći dio'!$C$3,'Opći dio'!$L$6:$U$136,9,FALSE))</f>
        <v/>
      </c>
      <c r="C468" s="200" t="str">
        <f t="shared" si="39"/>
        <v/>
      </c>
      <c r="D468" s="139" t="str">
        <f t="shared" si="40"/>
        <v/>
      </c>
      <c r="E468" s="151"/>
      <c r="F468" s="204" t="str">
        <f t="shared" si="41"/>
        <v/>
      </c>
      <c r="G468" s="196"/>
      <c r="H468" s="196"/>
      <c r="I468" s="196"/>
      <c r="K468" s="142" t="str">
        <f t="shared" si="42"/>
        <v/>
      </c>
      <c r="L468" s="142" t="str">
        <f t="shared" si="43"/>
        <v/>
      </c>
    </row>
    <row r="469" spans="1:12">
      <c r="A469" s="140" t="str">
        <f>IF(E469="","",VLOOKUP('Opći dio'!$C$3,'Opći dio'!$L$6:$U$136,10,FALSE))</f>
        <v/>
      </c>
      <c r="B469" s="140" t="str">
        <f>IF(E469="","",VLOOKUP('Opći dio'!$C$3,'Opći dio'!$L$6:$U$136,9,FALSE))</f>
        <v/>
      </c>
      <c r="C469" s="200" t="str">
        <f t="shared" si="39"/>
        <v/>
      </c>
      <c r="D469" s="139" t="str">
        <f t="shared" si="40"/>
        <v/>
      </c>
      <c r="E469" s="151"/>
      <c r="F469" s="204" t="str">
        <f t="shared" si="41"/>
        <v/>
      </c>
      <c r="G469" s="196"/>
      <c r="H469" s="196"/>
      <c r="I469" s="196"/>
      <c r="K469" s="142" t="str">
        <f t="shared" si="42"/>
        <v/>
      </c>
      <c r="L469" s="142" t="str">
        <f t="shared" si="43"/>
        <v/>
      </c>
    </row>
    <row r="470" spans="1:12">
      <c r="A470" s="140" t="str">
        <f>IF(E470="","",VLOOKUP('Opći dio'!$C$3,'Opći dio'!$L$6:$U$136,10,FALSE))</f>
        <v/>
      </c>
      <c r="B470" s="140" t="str">
        <f>IF(E470="","",VLOOKUP('Opći dio'!$C$3,'Opći dio'!$L$6:$U$136,9,FALSE))</f>
        <v/>
      </c>
      <c r="C470" s="200" t="str">
        <f t="shared" si="39"/>
        <v/>
      </c>
      <c r="D470" s="139" t="str">
        <f t="shared" si="40"/>
        <v/>
      </c>
      <c r="E470" s="151"/>
      <c r="F470" s="204" t="str">
        <f t="shared" si="41"/>
        <v/>
      </c>
      <c r="G470" s="196"/>
      <c r="H470" s="196"/>
      <c r="I470" s="196"/>
      <c r="K470" s="142" t="str">
        <f t="shared" si="42"/>
        <v/>
      </c>
      <c r="L470" s="142" t="str">
        <f t="shared" si="43"/>
        <v/>
      </c>
    </row>
    <row r="471" spans="1:12">
      <c r="A471" s="140" t="str">
        <f>IF(E471="","",VLOOKUP('Opći dio'!$C$3,'Opći dio'!$L$6:$U$136,10,FALSE))</f>
        <v/>
      </c>
      <c r="B471" s="140" t="str">
        <f>IF(E471="","",VLOOKUP('Opći dio'!$C$3,'Opći dio'!$L$6:$U$136,9,FALSE))</f>
        <v/>
      </c>
      <c r="C471" s="200" t="str">
        <f t="shared" si="39"/>
        <v/>
      </c>
      <c r="D471" s="139" t="str">
        <f t="shared" si="40"/>
        <v/>
      </c>
      <c r="E471" s="151"/>
      <c r="F471" s="204" t="str">
        <f t="shared" si="41"/>
        <v/>
      </c>
      <c r="G471" s="196"/>
      <c r="H471" s="196"/>
      <c r="I471" s="196"/>
      <c r="K471" s="142" t="str">
        <f t="shared" si="42"/>
        <v/>
      </c>
      <c r="L471" s="142" t="str">
        <f t="shared" si="43"/>
        <v/>
      </c>
    </row>
    <row r="472" spans="1:12">
      <c r="A472" s="140" t="str">
        <f>IF(E472="","",VLOOKUP('Opći dio'!$C$3,'Opći dio'!$L$6:$U$136,10,FALSE))</f>
        <v/>
      </c>
      <c r="B472" s="140" t="str">
        <f>IF(E472="","",VLOOKUP('Opći dio'!$C$3,'Opći dio'!$L$6:$U$136,9,FALSE))</f>
        <v/>
      </c>
      <c r="C472" s="200" t="str">
        <f t="shared" si="39"/>
        <v/>
      </c>
      <c r="D472" s="139" t="str">
        <f t="shared" si="40"/>
        <v/>
      </c>
      <c r="E472" s="151"/>
      <c r="F472" s="204" t="str">
        <f t="shared" si="41"/>
        <v/>
      </c>
      <c r="G472" s="196"/>
      <c r="H472" s="196"/>
      <c r="I472" s="196"/>
      <c r="K472" s="142" t="str">
        <f t="shared" si="42"/>
        <v/>
      </c>
      <c r="L472" s="142" t="str">
        <f t="shared" si="43"/>
        <v/>
      </c>
    </row>
    <row r="473" spans="1:12">
      <c r="A473" s="140" t="str">
        <f>IF(E473="","",VLOOKUP('Opći dio'!$C$3,'Opći dio'!$L$6:$U$136,10,FALSE))</f>
        <v/>
      </c>
      <c r="B473" s="140" t="str">
        <f>IF(E473="","",VLOOKUP('Opći dio'!$C$3,'Opći dio'!$L$6:$U$136,9,FALSE))</f>
        <v/>
      </c>
      <c r="C473" s="200" t="str">
        <f t="shared" si="39"/>
        <v/>
      </c>
      <c r="D473" s="139" t="str">
        <f t="shared" si="40"/>
        <v/>
      </c>
      <c r="E473" s="151"/>
      <c r="F473" s="204" t="str">
        <f t="shared" si="41"/>
        <v/>
      </c>
      <c r="G473" s="196"/>
      <c r="H473" s="196"/>
      <c r="I473" s="196"/>
      <c r="K473" s="142" t="str">
        <f t="shared" si="42"/>
        <v/>
      </c>
      <c r="L473" s="142" t="str">
        <f t="shared" si="43"/>
        <v/>
      </c>
    </row>
    <row r="474" spans="1:12">
      <c r="A474" s="140" t="str">
        <f>IF(E474="","",VLOOKUP('Opći dio'!$C$3,'Opći dio'!$L$6:$U$136,10,FALSE))</f>
        <v/>
      </c>
      <c r="B474" s="140" t="str">
        <f>IF(E474="","",VLOOKUP('Opći dio'!$C$3,'Opći dio'!$L$6:$U$136,9,FALSE))</f>
        <v/>
      </c>
      <c r="C474" s="200" t="str">
        <f t="shared" si="39"/>
        <v/>
      </c>
      <c r="D474" s="139" t="str">
        <f t="shared" si="40"/>
        <v/>
      </c>
      <c r="E474" s="151"/>
      <c r="F474" s="204" t="str">
        <f t="shared" si="41"/>
        <v/>
      </c>
      <c r="G474" s="196"/>
      <c r="H474" s="196"/>
      <c r="I474" s="196"/>
      <c r="K474" s="142" t="str">
        <f t="shared" si="42"/>
        <v/>
      </c>
      <c r="L474" s="142" t="str">
        <f t="shared" si="43"/>
        <v/>
      </c>
    </row>
    <row r="475" spans="1:12">
      <c r="A475" s="140" t="str">
        <f>IF(E475="","",VLOOKUP('Opći dio'!$C$3,'Opći dio'!$L$6:$U$136,10,FALSE))</f>
        <v/>
      </c>
      <c r="B475" s="140" t="str">
        <f>IF(E475="","",VLOOKUP('Opći dio'!$C$3,'Opći dio'!$L$6:$U$136,9,FALSE))</f>
        <v/>
      </c>
      <c r="C475" s="200" t="str">
        <f t="shared" si="39"/>
        <v/>
      </c>
      <c r="D475" s="139" t="str">
        <f t="shared" si="40"/>
        <v/>
      </c>
      <c r="E475" s="151"/>
      <c r="F475" s="204" t="str">
        <f t="shared" si="41"/>
        <v/>
      </c>
      <c r="G475" s="196"/>
      <c r="H475" s="196"/>
      <c r="I475" s="196"/>
      <c r="K475" s="142" t="str">
        <f t="shared" si="42"/>
        <v/>
      </c>
      <c r="L475" s="142" t="str">
        <f t="shared" si="43"/>
        <v/>
      </c>
    </row>
    <row r="476" spans="1:12">
      <c r="A476" s="140" t="str">
        <f>IF(E476="","",VLOOKUP('Opći dio'!$C$3,'Opći dio'!$L$6:$U$136,10,FALSE))</f>
        <v/>
      </c>
      <c r="B476" s="140" t="str">
        <f>IF(E476="","",VLOOKUP('Opći dio'!$C$3,'Opći dio'!$L$6:$U$136,9,FALSE))</f>
        <v/>
      </c>
      <c r="C476" s="200" t="str">
        <f t="shared" si="39"/>
        <v/>
      </c>
      <c r="D476" s="139" t="str">
        <f t="shared" si="40"/>
        <v/>
      </c>
      <c r="E476" s="151"/>
      <c r="F476" s="204" t="str">
        <f t="shared" si="41"/>
        <v/>
      </c>
      <c r="G476" s="196"/>
      <c r="H476" s="196"/>
      <c r="I476" s="196"/>
      <c r="K476" s="142" t="str">
        <f t="shared" si="42"/>
        <v/>
      </c>
      <c r="L476" s="142" t="str">
        <f t="shared" si="43"/>
        <v/>
      </c>
    </row>
    <row r="477" spans="1:12">
      <c r="A477" s="140" t="str">
        <f>IF(E477="","",VLOOKUP('Opći dio'!$C$3,'Opći dio'!$L$6:$U$136,10,FALSE))</f>
        <v/>
      </c>
      <c r="B477" s="140" t="str">
        <f>IF(E477="","",VLOOKUP('Opći dio'!$C$3,'Opći dio'!$L$6:$U$136,9,FALSE))</f>
        <v/>
      </c>
      <c r="C477" s="200" t="str">
        <f t="shared" si="39"/>
        <v/>
      </c>
      <c r="D477" s="139" t="str">
        <f t="shared" si="40"/>
        <v/>
      </c>
      <c r="E477" s="151"/>
      <c r="F477" s="204" t="str">
        <f t="shared" si="41"/>
        <v/>
      </c>
      <c r="G477" s="196"/>
      <c r="H477" s="196"/>
      <c r="I477" s="196"/>
      <c r="K477" s="142" t="str">
        <f t="shared" si="42"/>
        <v/>
      </c>
      <c r="L477" s="142" t="str">
        <f t="shared" si="43"/>
        <v/>
      </c>
    </row>
    <row r="478" spans="1:12">
      <c r="A478" s="140" t="str">
        <f>IF(E478="","",VLOOKUP('Opći dio'!$C$3,'Opći dio'!$L$6:$U$136,10,FALSE))</f>
        <v/>
      </c>
      <c r="B478" s="140" t="str">
        <f>IF(E478="","",VLOOKUP('Opći dio'!$C$3,'Opći dio'!$L$6:$U$136,9,FALSE))</f>
        <v/>
      </c>
      <c r="C478" s="200" t="str">
        <f t="shared" si="39"/>
        <v/>
      </c>
      <c r="D478" s="139" t="str">
        <f t="shared" si="40"/>
        <v/>
      </c>
      <c r="E478" s="151"/>
      <c r="F478" s="204" t="str">
        <f t="shared" si="41"/>
        <v/>
      </c>
      <c r="G478" s="196"/>
      <c r="H478" s="196"/>
      <c r="I478" s="196"/>
      <c r="K478" s="142" t="str">
        <f t="shared" si="42"/>
        <v/>
      </c>
      <c r="L478" s="142" t="str">
        <f t="shared" si="43"/>
        <v/>
      </c>
    </row>
    <row r="479" spans="1:12">
      <c r="A479" s="140" t="str">
        <f>IF(E479="","",VLOOKUP('Opći dio'!$C$3,'Opći dio'!$L$6:$U$136,10,FALSE))</f>
        <v/>
      </c>
      <c r="B479" s="140" t="str">
        <f>IF(E479="","",VLOOKUP('Opći dio'!$C$3,'Opći dio'!$L$6:$U$136,9,FALSE))</f>
        <v/>
      </c>
      <c r="C479" s="200" t="str">
        <f t="shared" si="39"/>
        <v/>
      </c>
      <c r="D479" s="139" t="str">
        <f t="shared" si="40"/>
        <v/>
      </c>
      <c r="E479" s="151"/>
      <c r="F479" s="204" t="str">
        <f t="shared" si="41"/>
        <v/>
      </c>
      <c r="G479" s="196"/>
      <c r="H479" s="196"/>
      <c r="I479" s="196"/>
      <c r="K479" s="142" t="str">
        <f t="shared" si="42"/>
        <v/>
      </c>
      <c r="L479" s="142" t="str">
        <f t="shared" si="43"/>
        <v/>
      </c>
    </row>
    <row r="480" spans="1:12">
      <c r="A480" s="140" t="str">
        <f>IF(E480="","",VLOOKUP('Opći dio'!$C$3,'Opći dio'!$L$6:$U$136,10,FALSE))</f>
        <v/>
      </c>
      <c r="B480" s="140" t="str">
        <f>IF(E480="","",VLOOKUP('Opći dio'!$C$3,'Opći dio'!$L$6:$U$136,9,FALSE))</f>
        <v/>
      </c>
      <c r="C480" s="200" t="str">
        <f t="shared" si="39"/>
        <v/>
      </c>
      <c r="D480" s="139" t="str">
        <f t="shared" si="40"/>
        <v/>
      </c>
      <c r="E480" s="151"/>
      <c r="F480" s="204" t="str">
        <f t="shared" si="41"/>
        <v/>
      </c>
      <c r="G480" s="196"/>
      <c r="H480" s="196"/>
      <c r="I480" s="196"/>
      <c r="K480" s="142" t="str">
        <f t="shared" si="42"/>
        <v/>
      </c>
      <c r="L480" s="142" t="str">
        <f t="shared" si="43"/>
        <v/>
      </c>
    </row>
    <row r="481" spans="1:12">
      <c r="A481" s="140" t="str">
        <f>IF(E481="","",VLOOKUP('Opći dio'!$C$3,'Opći dio'!$L$6:$U$136,10,FALSE))</f>
        <v/>
      </c>
      <c r="B481" s="140" t="str">
        <f>IF(E481="","",VLOOKUP('Opći dio'!$C$3,'Opći dio'!$L$6:$U$136,9,FALSE))</f>
        <v/>
      </c>
      <c r="C481" s="200" t="str">
        <f t="shared" si="39"/>
        <v/>
      </c>
      <c r="D481" s="139" t="str">
        <f t="shared" si="40"/>
        <v/>
      </c>
      <c r="E481" s="151"/>
      <c r="F481" s="204" t="str">
        <f t="shared" si="41"/>
        <v/>
      </c>
      <c r="G481" s="196"/>
      <c r="H481" s="196"/>
      <c r="I481" s="196"/>
      <c r="K481" s="142" t="str">
        <f t="shared" si="42"/>
        <v/>
      </c>
      <c r="L481" s="142" t="str">
        <f t="shared" si="43"/>
        <v/>
      </c>
    </row>
    <row r="482" spans="1:12">
      <c r="A482" s="140" t="str">
        <f>IF(E482="","",VLOOKUP('Opći dio'!$C$3,'Opći dio'!$L$6:$U$136,10,FALSE))</f>
        <v/>
      </c>
      <c r="B482" s="140" t="str">
        <f>IF(E482="","",VLOOKUP('Opći dio'!$C$3,'Opći dio'!$L$6:$U$136,9,FALSE))</f>
        <v/>
      </c>
      <c r="C482" s="200" t="str">
        <f t="shared" si="39"/>
        <v/>
      </c>
      <c r="D482" s="139" t="str">
        <f t="shared" si="40"/>
        <v/>
      </c>
      <c r="E482" s="151"/>
      <c r="F482" s="204" t="str">
        <f t="shared" si="41"/>
        <v/>
      </c>
      <c r="G482" s="196"/>
      <c r="H482" s="196"/>
      <c r="I482" s="196"/>
      <c r="K482" s="142" t="str">
        <f t="shared" si="42"/>
        <v/>
      </c>
      <c r="L482" s="142" t="str">
        <f t="shared" si="43"/>
        <v/>
      </c>
    </row>
    <row r="483" spans="1:12">
      <c r="A483" s="140" t="str">
        <f>IF(E483="","",VLOOKUP('Opći dio'!$C$3,'Opći dio'!$L$6:$U$136,10,FALSE))</f>
        <v/>
      </c>
      <c r="B483" s="140" t="str">
        <f>IF(E483="","",VLOOKUP('Opći dio'!$C$3,'Opći dio'!$L$6:$U$136,9,FALSE))</f>
        <v/>
      </c>
      <c r="C483" s="200" t="str">
        <f t="shared" si="39"/>
        <v/>
      </c>
      <c r="D483" s="139" t="str">
        <f t="shared" si="40"/>
        <v/>
      </c>
      <c r="E483" s="151"/>
      <c r="F483" s="204" t="str">
        <f t="shared" si="41"/>
        <v/>
      </c>
      <c r="G483" s="196"/>
      <c r="H483" s="196"/>
      <c r="I483" s="196"/>
      <c r="K483" s="142" t="str">
        <f t="shared" si="42"/>
        <v/>
      </c>
      <c r="L483" s="142" t="str">
        <f t="shared" si="43"/>
        <v/>
      </c>
    </row>
    <row r="484" spans="1:12">
      <c r="A484" s="140" t="str">
        <f>IF(E484="","",VLOOKUP('Opći dio'!$C$3,'Opći dio'!$L$6:$U$136,10,FALSE))</f>
        <v/>
      </c>
      <c r="B484" s="140" t="str">
        <f>IF(E484="","",VLOOKUP('Opći dio'!$C$3,'Opći dio'!$L$6:$U$136,9,FALSE))</f>
        <v/>
      </c>
      <c r="C484" s="200" t="str">
        <f t="shared" si="39"/>
        <v/>
      </c>
      <c r="D484" s="139" t="str">
        <f t="shared" si="40"/>
        <v/>
      </c>
      <c r="E484" s="151"/>
      <c r="F484" s="204" t="str">
        <f t="shared" si="41"/>
        <v/>
      </c>
      <c r="G484" s="196"/>
      <c r="H484" s="196"/>
      <c r="I484" s="196"/>
      <c r="K484" s="142" t="str">
        <f t="shared" si="42"/>
        <v/>
      </c>
      <c r="L484" s="142" t="str">
        <f t="shared" si="43"/>
        <v/>
      </c>
    </row>
    <row r="485" spans="1:12">
      <c r="A485" s="140" t="str">
        <f>IF(E485="","",VLOOKUP('Opći dio'!$C$3,'Opći dio'!$L$6:$U$136,10,FALSE))</f>
        <v/>
      </c>
      <c r="B485" s="140" t="str">
        <f>IF(E485="","",VLOOKUP('Opći dio'!$C$3,'Opći dio'!$L$6:$U$136,9,FALSE))</f>
        <v/>
      </c>
      <c r="C485" s="200" t="str">
        <f t="shared" si="39"/>
        <v/>
      </c>
      <c r="D485" s="139" t="str">
        <f t="shared" si="40"/>
        <v/>
      </c>
      <c r="E485" s="151"/>
      <c r="F485" s="204" t="str">
        <f t="shared" si="41"/>
        <v/>
      </c>
      <c r="G485" s="196"/>
      <c r="H485" s="196"/>
      <c r="I485" s="196"/>
      <c r="K485" s="142" t="str">
        <f t="shared" si="42"/>
        <v/>
      </c>
      <c r="L485" s="142" t="str">
        <f t="shared" si="43"/>
        <v/>
      </c>
    </row>
    <row r="486" spans="1:12">
      <c r="A486" s="140" t="str">
        <f>IF(E486="","",VLOOKUP('Opći dio'!$C$3,'Opći dio'!$L$6:$U$136,10,FALSE))</f>
        <v/>
      </c>
      <c r="B486" s="140" t="str">
        <f>IF(E486="","",VLOOKUP('Opći dio'!$C$3,'Opći dio'!$L$6:$U$136,9,FALSE))</f>
        <v/>
      </c>
      <c r="C486" s="200" t="str">
        <f t="shared" si="39"/>
        <v/>
      </c>
      <c r="D486" s="139" t="str">
        <f t="shared" si="40"/>
        <v/>
      </c>
      <c r="E486" s="151"/>
      <c r="F486" s="204" t="str">
        <f t="shared" si="41"/>
        <v/>
      </c>
      <c r="G486" s="196"/>
      <c r="H486" s="196"/>
      <c r="I486" s="196"/>
      <c r="K486" s="142" t="str">
        <f t="shared" si="42"/>
        <v/>
      </c>
      <c r="L486" s="142" t="str">
        <f t="shared" si="43"/>
        <v/>
      </c>
    </row>
    <row r="487" spans="1:12">
      <c r="A487" s="140" t="str">
        <f>IF(E487="","",VLOOKUP('Opći dio'!$C$3,'Opći dio'!$L$6:$U$136,10,FALSE))</f>
        <v/>
      </c>
      <c r="B487" s="140" t="str">
        <f>IF(E487="","",VLOOKUP('Opći dio'!$C$3,'Opći dio'!$L$6:$U$136,9,FALSE))</f>
        <v/>
      </c>
      <c r="C487" s="200" t="str">
        <f t="shared" si="39"/>
        <v/>
      </c>
      <c r="D487" s="139" t="str">
        <f t="shared" si="40"/>
        <v/>
      </c>
      <c r="E487" s="151"/>
      <c r="F487" s="204" t="str">
        <f t="shared" si="41"/>
        <v/>
      </c>
      <c r="G487" s="196"/>
      <c r="H487" s="196"/>
      <c r="I487" s="196"/>
      <c r="K487" s="142" t="str">
        <f t="shared" si="42"/>
        <v/>
      </c>
      <c r="L487" s="142" t="str">
        <f t="shared" si="43"/>
        <v/>
      </c>
    </row>
    <row r="488" spans="1:12">
      <c r="A488" s="140" t="str">
        <f>IF(E488="","",VLOOKUP('Opći dio'!$C$3,'Opći dio'!$L$6:$U$136,10,FALSE))</f>
        <v/>
      </c>
      <c r="B488" s="140" t="str">
        <f>IF(E488="","",VLOOKUP('Opći dio'!$C$3,'Opći dio'!$L$6:$U$136,9,FALSE))</f>
        <v/>
      </c>
      <c r="C488" s="200" t="str">
        <f t="shared" si="39"/>
        <v/>
      </c>
      <c r="D488" s="139" t="str">
        <f t="shared" si="40"/>
        <v/>
      </c>
      <c r="E488" s="151"/>
      <c r="F488" s="204" t="str">
        <f t="shared" si="41"/>
        <v/>
      </c>
      <c r="G488" s="196"/>
      <c r="H488" s="196"/>
      <c r="I488" s="196"/>
      <c r="K488" s="142" t="str">
        <f t="shared" si="42"/>
        <v/>
      </c>
      <c r="L488" s="142" t="str">
        <f t="shared" si="43"/>
        <v/>
      </c>
    </row>
    <row r="489" spans="1:12">
      <c r="A489" s="140" t="str">
        <f>IF(E489="","",VLOOKUP('Opći dio'!$C$3,'Opći dio'!$L$6:$U$136,10,FALSE))</f>
        <v/>
      </c>
      <c r="B489" s="140" t="str">
        <f>IF(E489="","",VLOOKUP('Opći dio'!$C$3,'Opći dio'!$L$6:$U$136,9,FALSE))</f>
        <v/>
      </c>
      <c r="C489" s="200" t="str">
        <f t="shared" si="39"/>
        <v/>
      </c>
      <c r="D489" s="139" t="str">
        <f t="shared" si="40"/>
        <v/>
      </c>
      <c r="E489" s="151"/>
      <c r="F489" s="204" t="str">
        <f t="shared" si="41"/>
        <v/>
      </c>
      <c r="G489" s="196"/>
      <c r="H489" s="196"/>
      <c r="I489" s="196"/>
      <c r="K489" s="142" t="str">
        <f t="shared" si="42"/>
        <v/>
      </c>
      <c r="L489" s="142" t="str">
        <f t="shared" si="43"/>
        <v/>
      </c>
    </row>
    <row r="490" spans="1:12">
      <c r="A490" s="140" t="str">
        <f>IF(E490="","",VLOOKUP('Opći dio'!$C$3,'Opći dio'!$L$6:$U$136,10,FALSE))</f>
        <v/>
      </c>
      <c r="B490" s="140" t="str">
        <f>IF(E490="","",VLOOKUP('Opći dio'!$C$3,'Opći dio'!$L$6:$U$136,9,FALSE))</f>
        <v/>
      </c>
      <c r="C490" s="200" t="str">
        <f t="shared" si="39"/>
        <v/>
      </c>
      <c r="D490" s="139" t="str">
        <f t="shared" si="40"/>
        <v/>
      </c>
      <c r="E490" s="151"/>
      <c r="F490" s="204" t="str">
        <f t="shared" si="41"/>
        <v/>
      </c>
      <c r="G490" s="196"/>
      <c r="H490" s="196"/>
      <c r="I490" s="196"/>
      <c r="K490" s="142" t="str">
        <f t="shared" si="42"/>
        <v/>
      </c>
      <c r="L490" s="142" t="str">
        <f t="shared" si="43"/>
        <v/>
      </c>
    </row>
    <row r="491" spans="1:12">
      <c r="A491" s="140" t="str">
        <f>IF(E491="","",VLOOKUP('Opći dio'!$C$3,'Opći dio'!$L$6:$U$136,10,FALSE))</f>
        <v/>
      </c>
      <c r="B491" s="140" t="str">
        <f>IF(E491="","",VLOOKUP('Opći dio'!$C$3,'Opći dio'!$L$6:$U$136,9,FALSE))</f>
        <v/>
      </c>
      <c r="C491" s="200" t="str">
        <f t="shared" si="39"/>
        <v/>
      </c>
      <c r="D491" s="139" t="str">
        <f t="shared" si="40"/>
        <v/>
      </c>
      <c r="E491" s="151"/>
      <c r="F491" s="204" t="str">
        <f t="shared" si="41"/>
        <v/>
      </c>
      <c r="G491" s="196"/>
      <c r="H491" s="196"/>
      <c r="I491" s="196"/>
      <c r="K491" s="142" t="str">
        <f t="shared" si="42"/>
        <v/>
      </c>
      <c r="L491" s="142" t="str">
        <f t="shared" si="43"/>
        <v/>
      </c>
    </row>
    <row r="492" spans="1:12">
      <c r="A492" s="140" t="str">
        <f>IF(E492="","",VLOOKUP('Opći dio'!$C$3,'Opći dio'!$L$6:$U$136,10,FALSE))</f>
        <v/>
      </c>
      <c r="B492" s="140" t="str">
        <f>IF(E492="","",VLOOKUP('Opći dio'!$C$3,'Opći dio'!$L$6:$U$136,9,FALSE))</f>
        <v/>
      </c>
      <c r="C492" s="200" t="str">
        <f t="shared" si="39"/>
        <v/>
      </c>
      <c r="D492" s="139" t="str">
        <f t="shared" si="40"/>
        <v/>
      </c>
      <c r="E492" s="151"/>
      <c r="F492" s="204" t="str">
        <f t="shared" si="41"/>
        <v/>
      </c>
      <c r="G492" s="196"/>
      <c r="H492" s="196"/>
      <c r="I492" s="196"/>
      <c r="K492" s="142" t="str">
        <f t="shared" si="42"/>
        <v/>
      </c>
      <c r="L492" s="142" t="str">
        <f t="shared" si="43"/>
        <v/>
      </c>
    </row>
    <row r="493" spans="1:12">
      <c r="A493" s="140" t="str">
        <f>IF(E493="","",VLOOKUP('Opći dio'!$C$3,'Opći dio'!$L$6:$U$136,10,FALSE))</f>
        <v/>
      </c>
      <c r="B493" s="140" t="str">
        <f>IF(E493="","",VLOOKUP('Opći dio'!$C$3,'Opći dio'!$L$6:$U$136,9,FALSE))</f>
        <v/>
      </c>
      <c r="C493" s="200" t="str">
        <f t="shared" si="39"/>
        <v/>
      </c>
      <c r="D493" s="139" t="str">
        <f t="shared" si="40"/>
        <v/>
      </c>
      <c r="E493" s="151"/>
      <c r="F493" s="204" t="str">
        <f t="shared" si="41"/>
        <v/>
      </c>
      <c r="G493" s="196"/>
      <c r="H493" s="196"/>
      <c r="I493" s="196"/>
      <c r="K493" s="142" t="str">
        <f t="shared" si="42"/>
        <v/>
      </c>
      <c r="L493" s="142" t="str">
        <f t="shared" si="43"/>
        <v/>
      </c>
    </row>
    <row r="494" spans="1:12">
      <c r="A494" s="140" t="str">
        <f>IF(E494="","",VLOOKUP('Opći dio'!$C$3,'Opći dio'!$L$6:$U$136,10,FALSE))</f>
        <v/>
      </c>
      <c r="B494" s="140" t="str">
        <f>IF(E494="","",VLOOKUP('Opći dio'!$C$3,'Opći dio'!$L$6:$U$136,9,FALSE))</f>
        <v/>
      </c>
      <c r="C494" s="200" t="str">
        <f t="shared" si="39"/>
        <v/>
      </c>
      <c r="D494" s="139" t="str">
        <f t="shared" si="40"/>
        <v/>
      </c>
      <c r="E494" s="151"/>
      <c r="F494" s="204" t="str">
        <f t="shared" si="41"/>
        <v/>
      </c>
      <c r="G494" s="196"/>
      <c r="H494" s="196"/>
      <c r="I494" s="196"/>
      <c r="K494" s="142" t="str">
        <f t="shared" si="42"/>
        <v/>
      </c>
      <c r="L494" s="142" t="str">
        <f t="shared" si="43"/>
        <v/>
      </c>
    </row>
    <row r="495" spans="1:12">
      <c r="A495" s="140" t="str">
        <f>IF(E495="","",VLOOKUP('Opći dio'!$C$3,'Opći dio'!$L$6:$U$136,10,FALSE))</f>
        <v/>
      </c>
      <c r="B495" s="140" t="str">
        <f>IF(E495="","",VLOOKUP('Opći dio'!$C$3,'Opći dio'!$L$6:$U$136,9,FALSE))</f>
        <v/>
      </c>
      <c r="C495" s="200" t="str">
        <f t="shared" si="39"/>
        <v/>
      </c>
      <c r="D495" s="139" t="str">
        <f t="shared" si="40"/>
        <v/>
      </c>
      <c r="E495" s="151"/>
      <c r="F495" s="204" t="str">
        <f t="shared" si="41"/>
        <v/>
      </c>
      <c r="G495" s="196"/>
      <c r="H495" s="196"/>
      <c r="I495" s="196"/>
      <c r="K495" s="142" t="str">
        <f t="shared" si="42"/>
        <v/>
      </c>
      <c r="L495" s="142" t="str">
        <f t="shared" si="43"/>
        <v/>
      </c>
    </row>
    <row r="496" spans="1:12">
      <c r="A496" s="140" t="str">
        <f>IF(E496="","",VLOOKUP('Opći dio'!$C$3,'Opći dio'!$L$6:$U$136,10,FALSE))</f>
        <v/>
      </c>
      <c r="B496" s="140" t="str">
        <f>IF(E496="","",VLOOKUP('Opći dio'!$C$3,'Opći dio'!$L$6:$U$136,9,FALSE))</f>
        <v/>
      </c>
      <c r="C496" s="200" t="str">
        <f t="shared" si="39"/>
        <v/>
      </c>
      <c r="D496" s="139" t="str">
        <f t="shared" si="40"/>
        <v/>
      </c>
      <c r="E496" s="151"/>
      <c r="F496" s="204" t="str">
        <f t="shared" si="41"/>
        <v/>
      </c>
      <c r="G496" s="196"/>
      <c r="H496" s="196"/>
      <c r="I496" s="196"/>
      <c r="K496" s="142" t="str">
        <f t="shared" si="42"/>
        <v/>
      </c>
      <c r="L496" s="142" t="str">
        <f t="shared" si="43"/>
        <v/>
      </c>
    </row>
    <row r="497" spans="1:12">
      <c r="A497" s="140" t="str">
        <f>IF(E497="","",VLOOKUP('Opći dio'!$C$3,'Opći dio'!$L$6:$U$136,10,FALSE))</f>
        <v/>
      </c>
      <c r="B497" s="140" t="str">
        <f>IF(E497="","",VLOOKUP('Opći dio'!$C$3,'Opći dio'!$L$6:$U$136,9,FALSE))</f>
        <v/>
      </c>
      <c r="C497" s="200" t="str">
        <f t="shared" si="39"/>
        <v/>
      </c>
      <c r="D497" s="139" t="str">
        <f t="shared" si="40"/>
        <v/>
      </c>
      <c r="E497" s="151"/>
      <c r="F497" s="204" t="str">
        <f t="shared" si="41"/>
        <v/>
      </c>
      <c r="G497" s="196"/>
      <c r="H497" s="196"/>
      <c r="I497" s="196"/>
      <c r="K497" s="142" t="str">
        <f t="shared" si="42"/>
        <v/>
      </c>
      <c r="L497" s="142" t="str">
        <f t="shared" si="43"/>
        <v/>
      </c>
    </row>
    <row r="498" spans="1:12">
      <c r="A498" s="140" t="str">
        <f>IF(E498="","",VLOOKUP('Opći dio'!$C$3,'Opći dio'!$L$6:$U$136,10,FALSE))</f>
        <v/>
      </c>
      <c r="B498" s="140" t="str">
        <f>IF(E498="","",VLOOKUP('Opći dio'!$C$3,'Opći dio'!$L$6:$U$136,9,FALSE))</f>
        <v/>
      </c>
      <c r="C498" s="200" t="str">
        <f t="shared" si="39"/>
        <v/>
      </c>
      <c r="D498" s="139" t="str">
        <f t="shared" si="40"/>
        <v/>
      </c>
      <c r="E498" s="151"/>
      <c r="F498" s="204" t="str">
        <f t="shared" si="41"/>
        <v/>
      </c>
      <c r="G498" s="196"/>
      <c r="H498" s="196"/>
      <c r="I498" s="196"/>
      <c r="K498" s="142" t="str">
        <f t="shared" si="42"/>
        <v/>
      </c>
      <c r="L498" s="142" t="str">
        <f t="shared" si="43"/>
        <v/>
      </c>
    </row>
    <row r="499" spans="1:12">
      <c r="A499" s="140" t="str">
        <f>IF(E499="","",VLOOKUP('Opći dio'!$C$3,'Opći dio'!$L$6:$U$136,10,FALSE))</f>
        <v/>
      </c>
      <c r="B499" s="140" t="str">
        <f>IF(E499="","",VLOOKUP('Opći dio'!$C$3,'Opći dio'!$L$6:$U$136,9,FALSE))</f>
        <v/>
      </c>
      <c r="C499" s="200" t="str">
        <f t="shared" si="39"/>
        <v/>
      </c>
      <c r="D499" s="139" t="str">
        <f t="shared" si="40"/>
        <v/>
      </c>
      <c r="E499" s="151"/>
      <c r="F499" s="204" t="str">
        <f t="shared" si="41"/>
        <v/>
      </c>
      <c r="G499" s="196"/>
      <c r="H499" s="196"/>
      <c r="I499" s="196"/>
      <c r="K499" s="142" t="str">
        <f t="shared" si="42"/>
        <v/>
      </c>
      <c r="L499" s="142" t="str">
        <f t="shared" si="43"/>
        <v/>
      </c>
    </row>
    <row r="500" spans="1:12">
      <c r="A500" s="140" t="str">
        <f>IF(E500="","",VLOOKUP('Opći dio'!$C$3,'Opći dio'!$L$6:$U$136,10,FALSE))</f>
        <v/>
      </c>
      <c r="B500" s="140" t="str">
        <f>IF(E500="","",VLOOKUP('Opći dio'!$C$3,'Opći dio'!$L$6:$U$136,9,FALSE))</f>
        <v/>
      </c>
      <c r="C500" s="200" t="str">
        <f t="shared" si="39"/>
        <v/>
      </c>
      <c r="D500" s="139" t="str">
        <f t="shared" si="40"/>
        <v/>
      </c>
      <c r="E500" s="151"/>
      <c r="F500" s="204" t="str">
        <f t="shared" si="41"/>
        <v/>
      </c>
      <c r="G500" s="196"/>
      <c r="H500" s="196"/>
      <c r="I500" s="196"/>
      <c r="K500" s="142" t="str">
        <f t="shared" si="42"/>
        <v/>
      </c>
      <c r="L500" s="142" t="str">
        <f t="shared" si="43"/>
        <v/>
      </c>
    </row>
    <row r="501" spans="1:12">
      <c r="A501" s="140" t="str">
        <f>IF(E501="","",VLOOKUP('Opći dio'!$C$3,'Opći dio'!$L$6:$U$136,10,FALSE))</f>
        <v/>
      </c>
      <c r="B501" s="140" t="str">
        <f>IF(E501="","",VLOOKUP('Opći dio'!$C$3,'Opći dio'!$L$6:$U$136,9,FALSE))</f>
        <v/>
      </c>
      <c r="C501" s="200" t="str">
        <f t="shared" si="39"/>
        <v/>
      </c>
      <c r="D501" s="139" t="str">
        <f t="shared" si="40"/>
        <v/>
      </c>
      <c r="E501" s="151"/>
      <c r="F501" s="204" t="str">
        <f t="shared" si="41"/>
        <v/>
      </c>
      <c r="G501" s="196"/>
      <c r="H501" s="196"/>
      <c r="I501" s="196"/>
      <c r="K501" s="142" t="str">
        <f t="shared" si="42"/>
        <v/>
      </c>
      <c r="L501" s="142" t="str">
        <f t="shared" si="43"/>
        <v/>
      </c>
    </row>
    <row r="502" spans="1:12"/>
  </sheetData>
  <sheetProtection password="DE31" sheet="1" objects="1" scenarios="1" selectLockedCells="1"/>
  <sortState ref="Q8:U90">
    <sortCondition ref="Q8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$Q$6:$Q$90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2"/>
  <sheetViews>
    <sheetView showGridLines="0" tabSelected="1" zoomScale="110" zoomScaleNormal="110" workbookViewId="0">
      <pane ySplit="2" topLeftCell="A3" activePane="bottomLeft" state="frozen"/>
      <selection pane="bottomLeft" activeCell="C119" sqref="C119"/>
    </sheetView>
  </sheetViews>
  <sheetFormatPr defaultColWidth="0" defaultRowHeight="15" zeroHeight="1"/>
  <cols>
    <col min="1" max="1" width="8.28515625" style="142" customWidth="1"/>
    <col min="2" max="2" width="20.28515625" style="142" customWidth="1"/>
    <col min="3" max="3" width="11.5703125" style="142" customWidth="1"/>
    <col min="4" max="4" width="33" style="142" customWidth="1"/>
    <col min="5" max="5" width="11.28515625" style="142" customWidth="1"/>
    <col min="6" max="6" width="21.85546875" style="142" customWidth="1"/>
    <col min="7" max="7" width="12.5703125" style="142" customWidth="1"/>
    <col min="8" max="8" width="36.7109375" style="142" customWidth="1"/>
    <col min="9" max="9" width="16.42578125" style="143" customWidth="1"/>
    <col min="10" max="10" width="15.7109375" style="143" customWidth="1"/>
    <col min="11" max="11" width="15.140625" style="143" customWidth="1"/>
    <col min="12" max="12" width="9.140625" style="142" customWidth="1"/>
    <col min="13" max="15" width="9.140625" style="142" hidden="1" customWidth="1"/>
    <col min="16" max="16" width="46.5703125" style="142" hidden="1" customWidth="1"/>
    <col min="17" max="18" width="9.140625" style="142" hidden="1" customWidth="1"/>
    <col min="19" max="19" width="58.85546875" style="142" hidden="1" customWidth="1"/>
    <col min="20" max="25" width="0" style="142" hidden="1" customWidth="1"/>
    <col min="26" max="16384" width="9.140625" style="142" hidden="1"/>
  </cols>
  <sheetData>
    <row r="1" spans="1:25" ht="35.25" customHeight="1">
      <c r="A1" s="272" t="s">
        <v>810</v>
      </c>
      <c r="B1" s="272"/>
      <c r="C1" s="272"/>
      <c r="D1" s="272"/>
      <c r="E1" s="203" t="str">
        <f>IF('Opći dio'!C3="odaberite -","Molimo odaberite proračunskog korisnika na radnom listu Opći podaci!","")</f>
        <v/>
      </c>
    </row>
    <row r="2" spans="1:25" ht="36" customHeight="1">
      <c r="A2" s="144" t="s">
        <v>55</v>
      </c>
      <c r="B2" s="144" t="s">
        <v>56</v>
      </c>
      <c r="C2" s="149" t="s">
        <v>845</v>
      </c>
      <c r="D2" s="144" t="s">
        <v>58</v>
      </c>
      <c r="E2" s="149" t="s">
        <v>843</v>
      </c>
      <c r="F2" s="144" t="s">
        <v>844</v>
      </c>
      <c r="G2" s="149" t="s">
        <v>846</v>
      </c>
      <c r="H2" s="144" t="s">
        <v>60</v>
      </c>
      <c r="I2" s="205" t="s">
        <v>836</v>
      </c>
      <c r="J2" s="205" t="s">
        <v>837</v>
      </c>
      <c r="K2" s="205" t="s">
        <v>838</v>
      </c>
      <c r="M2" s="145" t="s">
        <v>812</v>
      </c>
      <c r="N2" s="145" t="s">
        <v>813</v>
      </c>
    </row>
    <row r="3" spans="1:25">
      <c r="A3" s="146" t="str">
        <f>IF(C3="","",VLOOKUP('Opći dio'!$C$3,'Opći dio'!$L$6:$U$136,10,FALSE))</f>
        <v>08091</v>
      </c>
      <c r="B3" s="146" t="str">
        <f>IF(C3="","",VLOOKUP('Opći dio'!$C$3,'Opći dio'!$L$6:$U$136,9,FALSE))</f>
        <v>Agencije</v>
      </c>
      <c r="C3" s="152">
        <v>561</v>
      </c>
      <c r="D3" s="147" t="str">
        <f>IFERROR(VLOOKUP(C3,$O$6:$P$22,2,FALSE),"")</f>
        <v>Europski socijalni fond (ESF)</v>
      </c>
      <c r="E3" s="152">
        <v>3211</v>
      </c>
      <c r="F3" s="147" t="str">
        <f t="shared" ref="F3" si="0">IFERROR(VLOOKUP(E3,$R$5:$T$129,2,FALSE),"")</f>
        <v>Službena putovanja</v>
      </c>
      <c r="G3" s="199" t="s">
        <v>1341</v>
      </c>
      <c r="H3" s="147" t="str">
        <f>IFERROR(VLOOKUP(G3,$X$6:$Y$171,2,FALSE),"")</f>
        <v>NABAVA INOZEMNIH ZNANSTVENIH ČASOPISA</v>
      </c>
      <c r="I3" s="196">
        <v>80368</v>
      </c>
      <c r="J3" s="196">
        <v>80368</v>
      </c>
      <c r="K3" s="196">
        <v>80368</v>
      </c>
      <c r="M3" s="142" t="str">
        <f>LEFT(E3,3)</f>
        <v>321</v>
      </c>
      <c r="N3" s="142" t="str">
        <f>LEFT(E3,2)</f>
        <v>32</v>
      </c>
    </row>
    <row r="4" spans="1:25">
      <c r="A4" s="146" t="str">
        <f>IF(C4="","",VLOOKUP('Opći dio'!$C$3,'Opći dio'!$L$6:$U$136,10,FALSE))</f>
        <v>08091</v>
      </c>
      <c r="B4" s="146" t="str">
        <f>IF(C4="","",VLOOKUP('Opći dio'!$C$3,'Opći dio'!$L$6:$U$136,9,FALSE))</f>
        <v>Agencije</v>
      </c>
      <c r="C4" s="152">
        <v>561</v>
      </c>
      <c r="D4" s="147" t="str">
        <f t="shared" ref="D4:D67" si="1">IFERROR(VLOOKUP(C4,$O$6:$P$22,2,FALSE),"")</f>
        <v>Europski socijalni fond (ESF)</v>
      </c>
      <c r="E4" s="152">
        <v>3213</v>
      </c>
      <c r="F4" s="147" t="str">
        <f t="shared" ref="F4:F67" si="2">IFERROR(VLOOKUP(E4,$R$5:$T$129,2,FALSE),"")</f>
        <v>Stručno usavršavanje zaposlenika</v>
      </c>
      <c r="G4" s="199" t="s">
        <v>1341</v>
      </c>
      <c r="H4" s="147" t="str">
        <f t="shared" ref="H4:H67" si="3">IFERROR(VLOOKUP(G4,$X$6:$Y$171,2,FALSE),"")</f>
        <v>NABAVA INOZEMNIH ZNANSTVENIH ČASOPISA</v>
      </c>
      <c r="I4" s="196">
        <v>40290</v>
      </c>
      <c r="J4" s="196">
        <v>40290</v>
      </c>
      <c r="K4" s="196">
        <v>40290</v>
      </c>
      <c r="M4" s="142" t="str">
        <f t="shared" ref="M4:M67" si="4">LEFT(E4,3)</f>
        <v>321</v>
      </c>
      <c r="N4" s="142" t="str">
        <f t="shared" ref="N4:N67" si="5">LEFT(E4,2)</f>
        <v>32</v>
      </c>
      <c r="R4" s="148"/>
      <c r="S4" s="148"/>
    </row>
    <row r="5" spans="1:25">
      <c r="A5" s="146" t="str">
        <f>IF(C5="","",VLOOKUP('Opći dio'!$C$3,'Opći dio'!$L$6:$U$136,10,FALSE))</f>
        <v>08091</v>
      </c>
      <c r="B5" s="146" t="str">
        <f>IF(C5="","",VLOOKUP('Opći dio'!$C$3,'Opći dio'!$L$6:$U$136,9,FALSE))</f>
        <v>Agencije</v>
      </c>
      <c r="C5" s="152">
        <v>561</v>
      </c>
      <c r="D5" s="147" t="str">
        <f t="shared" si="1"/>
        <v>Europski socijalni fond (ESF)</v>
      </c>
      <c r="E5" s="152">
        <v>3221</v>
      </c>
      <c r="F5" s="147" t="str">
        <f t="shared" si="2"/>
        <v>Uredski materijal i ostali materijalni rashodi</v>
      </c>
      <c r="G5" s="199" t="s">
        <v>1341</v>
      </c>
      <c r="H5" s="147" t="str">
        <f t="shared" si="3"/>
        <v>NABAVA INOZEMNIH ZNANSTVENIH ČASOPISA</v>
      </c>
      <c r="I5" s="196">
        <v>54020</v>
      </c>
      <c r="J5" s="196">
        <v>54020</v>
      </c>
      <c r="K5" s="196">
        <v>54020</v>
      </c>
      <c r="M5" s="142" t="str">
        <f t="shared" si="4"/>
        <v>322</v>
      </c>
      <c r="N5" s="142" t="str">
        <f t="shared" si="5"/>
        <v>32</v>
      </c>
      <c r="O5" s="142" t="s">
        <v>57</v>
      </c>
      <c r="P5" s="142" t="s">
        <v>58</v>
      </c>
      <c r="R5" s="142">
        <v>3111</v>
      </c>
      <c r="S5" s="142" t="s">
        <v>66</v>
      </c>
      <c r="U5" s="142" t="str">
        <f t="shared" ref="U5:U9" si="6">LEFT(R5,2)</f>
        <v>31</v>
      </c>
      <c r="V5" s="142" t="str">
        <f>LEFT(R5,3)</f>
        <v>311</v>
      </c>
      <c r="X5" s="142" t="s">
        <v>59</v>
      </c>
      <c r="Y5" s="142" t="s">
        <v>60</v>
      </c>
    </row>
    <row r="6" spans="1:25">
      <c r="A6" s="146" t="str">
        <f>IF(C6="","",VLOOKUP('Opći dio'!$C$3,'Opći dio'!$L$6:$U$136,10,FALSE))</f>
        <v>08091</v>
      </c>
      <c r="B6" s="146" t="str">
        <f>IF(C6="","",VLOOKUP('Opći dio'!$C$3,'Opći dio'!$L$6:$U$136,9,FALSE))</f>
        <v>Agencije</v>
      </c>
      <c r="C6" s="152">
        <v>561</v>
      </c>
      <c r="D6" s="147" t="str">
        <f t="shared" si="1"/>
        <v>Europski socijalni fond (ESF)</v>
      </c>
      <c r="E6" s="152">
        <v>3233</v>
      </c>
      <c r="F6" s="147" t="str">
        <f t="shared" si="2"/>
        <v>Usluge promidžbe i informiranja</v>
      </c>
      <c r="G6" s="199" t="s">
        <v>1341</v>
      </c>
      <c r="H6" s="147" t="str">
        <f t="shared" si="3"/>
        <v>NABAVA INOZEMNIH ZNANSTVENIH ČASOPISA</v>
      </c>
      <c r="I6" s="196">
        <v>27572300</v>
      </c>
      <c r="J6" s="196">
        <v>28127728</v>
      </c>
      <c r="K6" s="196">
        <f>27572300+773545</f>
        <v>28345845</v>
      </c>
      <c r="M6" s="142" t="str">
        <f t="shared" si="4"/>
        <v>323</v>
      </c>
      <c r="N6" s="142" t="str">
        <f t="shared" si="5"/>
        <v>32</v>
      </c>
      <c r="O6" s="142">
        <v>11</v>
      </c>
      <c r="P6" s="142" t="s">
        <v>65</v>
      </c>
      <c r="R6" s="142">
        <v>3112</v>
      </c>
      <c r="S6" s="142" t="s">
        <v>166</v>
      </c>
      <c r="U6" s="142" t="str">
        <f t="shared" si="6"/>
        <v>31</v>
      </c>
      <c r="V6" s="142" t="str">
        <f t="shared" ref="V6:V9" si="7">LEFT(R6,3)</f>
        <v>311</v>
      </c>
      <c r="X6" s="142" t="s">
        <v>1671</v>
      </c>
      <c r="Y6" s="142" t="s">
        <v>1671</v>
      </c>
    </row>
    <row r="7" spans="1:25">
      <c r="A7" s="146" t="str">
        <f>IF(C7="","",VLOOKUP('Opći dio'!$C$3,'Opći dio'!$L$6:$U$136,10,FALSE))</f>
        <v>08091</v>
      </c>
      <c r="B7" s="146" t="str">
        <f>IF(C7="","",VLOOKUP('Opći dio'!$C$3,'Opći dio'!$L$6:$U$136,9,FALSE))</f>
        <v>Agencije</v>
      </c>
      <c r="C7" s="152">
        <v>561</v>
      </c>
      <c r="D7" s="147" t="str">
        <f t="shared" si="1"/>
        <v>Europski socijalni fond (ESF)</v>
      </c>
      <c r="E7" s="152">
        <v>3235</v>
      </c>
      <c r="F7" s="147" t="str">
        <f t="shared" si="2"/>
        <v>Zakupnine i najamnine</v>
      </c>
      <c r="G7" s="199" t="s">
        <v>1341</v>
      </c>
      <c r="H7" s="147" t="str">
        <f t="shared" si="3"/>
        <v>NABAVA INOZEMNIH ZNANSTVENIH ČASOPISA</v>
      </c>
      <c r="I7" s="196">
        <f>5185+16</f>
        <v>5201</v>
      </c>
      <c r="J7" s="196">
        <f>5185+16</f>
        <v>5201</v>
      </c>
      <c r="K7" s="196">
        <f>5185+16</f>
        <v>5201</v>
      </c>
      <c r="M7" s="142" t="str">
        <f t="shared" si="4"/>
        <v>323</v>
      </c>
      <c r="N7" s="142" t="str">
        <f t="shared" si="5"/>
        <v>32</v>
      </c>
      <c r="O7" s="142">
        <v>12</v>
      </c>
      <c r="P7" s="142" t="s">
        <v>285</v>
      </c>
      <c r="R7" s="142">
        <v>3113</v>
      </c>
      <c r="S7" s="142" t="s">
        <v>145</v>
      </c>
      <c r="U7" s="142" t="str">
        <f t="shared" si="6"/>
        <v>31</v>
      </c>
      <c r="V7" s="142" t="str">
        <f t="shared" si="7"/>
        <v>311</v>
      </c>
      <c r="X7" t="s">
        <v>1296</v>
      </c>
      <c r="Y7" t="s">
        <v>1297</v>
      </c>
    </row>
    <row r="8" spans="1:25">
      <c r="A8" s="146" t="str">
        <f>IF(C8="","",VLOOKUP('Opći dio'!$C$3,'Opći dio'!$L$6:$U$136,10,FALSE))</f>
        <v>08091</v>
      </c>
      <c r="B8" s="146" t="str">
        <f>IF(C8="","",VLOOKUP('Opći dio'!$C$3,'Opći dio'!$L$6:$U$136,9,FALSE))</f>
        <v>Agencije</v>
      </c>
      <c r="C8" s="152">
        <v>561</v>
      </c>
      <c r="D8" s="147" t="str">
        <f t="shared" si="1"/>
        <v>Europski socijalni fond (ESF)</v>
      </c>
      <c r="E8" s="152">
        <v>3239</v>
      </c>
      <c r="F8" s="147" t="str">
        <f t="shared" si="2"/>
        <v>Ostale usluge</v>
      </c>
      <c r="G8" s="199" t="s">
        <v>1341</v>
      </c>
      <c r="H8" s="147" t="str">
        <f t="shared" si="3"/>
        <v>NABAVA INOZEMNIH ZNANSTVENIH ČASOPISA</v>
      </c>
      <c r="I8" s="196">
        <v>13162</v>
      </c>
      <c r="J8" s="196">
        <v>13162</v>
      </c>
      <c r="K8" s="196">
        <v>13162</v>
      </c>
      <c r="M8" s="142" t="str">
        <f t="shared" si="4"/>
        <v>323</v>
      </c>
      <c r="N8" s="142" t="str">
        <f t="shared" si="5"/>
        <v>32</v>
      </c>
      <c r="O8" s="142">
        <v>31</v>
      </c>
      <c r="P8" s="142" t="s">
        <v>110</v>
      </c>
      <c r="R8" s="142">
        <v>3114</v>
      </c>
      <c r="S8" s="142" t="s">
        <v>167</v>
      </c>
      <c r="U8" s="142" t="str">
        <f t="shared" si="6"/>
        <v>31</v>
      </c>
      <c r="V8" s="142" t="str">
        <f t="shared" si="7"/>
        <v>311</v>
      </c>
      <c r="X8" t="s">
        <v>1298</v>
      </c>
      <c r="Y8" t="s">
        <v>1299</v>
      </c>
    </row>
    <row r="9" spans="1:25">
      <c r="A9" s="146" t="str">
        <f>IF(C9="","",VLOOKUP('Opći dio'!$C$3,'Opći dio'!$L$6:$U$136,10,FALSE))</f>
        <v>08091</v>
      </c>
      <c r="B9" s="146" t="str">
        <f>IF(C9="","",VLOOKUP('Opći dio'!$C$3,'Opći dio'!$L$6:$U$136,9,FALSE))</f>
        <v>Agencije</v>
      </c>
      <c r="C9" s="152">
        <v>561</v>
      </c>
      <c r="D9" s="147" t="str">
        <f t="shared" si="1"/>
        <v>Europski socijalni fond (ESF)</v>
      </c>
      <c r="E9" s="152">
        <v>3241</v>
      </c>
      <c r="F9" s="147" t="str">
        <f t="shared" si="2"/>
        <v>Naknade troškova osobama izvan radnog odnosa</v>
      </c>
      <c r="G9" s="199" t="s">
        <v>1341</v>
      </c>
      <c r="H9" s="147" t="str">
        <f t="shared" si="3"/>
        <v>NABAVA INOZEMNIH ZNANSTVENIH ČASOPISA</v>
      </c>
      <c r="I9" s="196">
        <v>2975</v>
      </c>
      <c r="J9" s="196">
        <v>2975</v>
      </c>
      <c r="K9" s="196">
        <v>2975</v>
      </c>
      <c r="M9" s="142" t="str">
        <f t="shared" si="4"/>
        <v>324</v>
      </c>
      <c r="N9" s="142" t="str">
        <f t="shared" si="5"/>
        <v>32</v>
      </c>
      <c r="O9" s="142">
        <v>41</v>
      </c>
      <c r="P9" s="142" t="s">
        <v>1643</v>
      </c>
      <c r="R9" s="142">
        <v>3121</v>
      </c>
      <c r="S9" s="142" t="s">
        <v>69</v>
      </c>
      <c r="U9" s="142" t="str">
        <f t="shared" si="6"/>
        <v>31</v>
      </c>
      <c r="V9" s="142" t="str">
        <f t="shared" si="7"/>
        <v>312</v>
      </c>
      <c r="X9" t="s">
        <v>1300</v>
      </c>
      <c r="Y9" t="s">
        <v>1301</v>
      </c>
    </row>
    <row r="10" spans="1:25">
      <c r="A10" s="146" t="str">
        <f>IF(C10="","",VLOOKUP('Opći dio'!$C$3,'Opći dio'!$L$6:$U$136,10,FALSE))</f>
        <v>08091</v>
      </c>
      <c r="B10" s="146" t="str">
        <f>IF(C10="","",VLOOKUP('Opći dio'!$C$3,'Opći dio'!$L$6:$U$136,9,FALSE))</f>
        <v>Agencije</v>
      </c>
      <c r="C10" s="152">
        <v>561</v>
      </c>
      <c r="D10" s="147" t="str">
        <f t="shared" si="1"/>
        <v>Europski socijalni fond (ESF)</v>
      </c>
      <c r="E10" s="152">
        <v>3294</v>
      </c>
      <c r="F10" s="147" t="str">
        <f t="shared" si="2"/>
        <v>Članarine i norme</v>
      </c>
      <c r="G10" s="199" t="s">
        <v>1341</v>
      </c>
      <c r="H10" s="147" t="str">
        <f t="shared" si="3"/>
        <v>NABAVA INOZEMNIH ZNANSTVENIH ČASOPISA</v>
      </c>
      <c r="I10" s="196">
        <v>3071</v>
      </c>
      <c r="J10" s="196">
        <v>3071</v>
      </c>
      <c r="K10" s="196">
        <v>3071</v>
      </c>
      <c r="M10" s="142" t="str">
        <f t="shared" si="4"/>
        <v>329</v>
      </c>
      <c r="N10" s="142" t="str">
        <f t="shared" si="5"/>
        <v>32</v>
      </c>
      <c r="O10" s="142">
        <v>43</v>
      </c>
      <c r="P10" s="142" t="s">
        <v>115</v>
      </c>
      <c r="R10" s="210">
        <v>3132</v>
      </c>
      <c r="S10" s="210" t="s">
        <v>70</v>
      </c>
      <c r="T10" s="210"/>
      <c r="U10" s="210" t="str">
        <f t="shared" ref="U10:U41" si="8">LEFT(R10,2)</f>
        <v>31</v>
      </c>
      <c r="V10" s="210" t="str">
        <f t="shared" ref="V10:V41" si="9">LEFT(R10,3)</f>
        <v>313</v>
      </c>
      <c r="X10" t="s">
        <v>1316</v>
      </c>
      <c r="Y10" t="s">
        <v>1317</v>
      </c>
    </row>
    <row r="11" spans="1:25">
      <c r="A11" s="146" t="str">
        <f>IF(C11="","",VLOOKUP('Opći dio'!$C$3,'Opći dio'!$L$6:$U$136,10,FALSE))</f>
        <v>08091</v>
      </c>
      <c r="B11" s="146" t="str">
        <f>IF(C11="","",VLOOKUP('Opći dio'!$C$3,'Opći dio'!$L$6:$U$136,9,FALSE))</f>
        <v>Agencije</v>
      </c>
      <c r="C11" s="152">
        <v>12</v>
      </c>
      <c r="D11" s="147" t="str">
        <f t="shared" si="1"/>
        <v>Sredstva učešća za pomoći</v>
      </c>
      <c r="E11" s="152">
        <v>3211</v>
      </c>
      <c r="F11" s="147" t="str">
        <f t="shared" si="2"/>
        <v>Službena putovanja</v>
      </c>
      <c r="G11" s="199" t="s">
        <v>1341</v>
      </c>
      <c r="H11" s="147" t="str">
        <f t="shared" si="3"/>
        <v>NABAVA INOZEMNIH ZNANSTVENIH ČASOPISA</v>
      </c>
      <c r="I11" s="196">
        <v>14183</v>
      </c>
      <c r="J11" s="196">
        <v>14183</v>
      </c>
      <c r="K11" s="196">
        <v>14183</v>
      </c>
      <c r="M11" s="142" t="str">
        <f t="shared" si="4"/>
        <v>321</v>
      </c>
      <c r="N11" s="142" t="str">
        <f t="shared" si="5"/>
        <v>32</v>
      </c>
      <c r="O11" s="142">
        <v>51</v>
      </c>
      <c r="P11" s="142" t="s">
        <v>105</v>
      </c>
      <c r="R11" s="142">
        <v>3211</v>
      </c>
      <c r="S11" s="142" t="s">
        <v>97</v>
      </c>
      <c r="U11" s="142" t="str">
        <f t="shared" si="8"/>
        <v>32</v>
      </c>
      <c r="V11" s="142" t="str">
        <f t="shared" si="9"/>
        <v>321</v>
      </c>
      <c r="X11" t="s">
        <v>1401</v>
      </c>
      <c r="Y11" t="s">
        <v>1402</v>
      </c>
    </row>
    <row r="12" spans="1:25">
      <c r="A12" s="146" t="str">
        <f>IF(C12="","",VLOOKUP('Opći dio'!$C$3,'Opći dio'!$L$6:$U$136,10,FALSE))</f>
        <v>08091</v>
      </c>
      <c r="B12" s="146" t="str">
        <f>IF(C12="","",VLOOKUP('Opći dio'!$C$3,'Opći dio'!$L$6:$U$136,9,FALSE))</f>
        <v>Agencije</v>
      </c>
      <c r="C12" s="152">
        <v>12</v>
      </c>
      <c r="D12" s="147" t="str">
        <f t="shared" si="1"/>
        <v>Sredstva učešća za pomoći</v>
      </c>
      <c r="E12" s="152">
        <v>3213</v>
      </c>
      <c r="F12" s="147" t="str">
        <f t="shared" si="2"/>
        <v>Stručno usavršavanje zaposlenika</v>
      </c>
      <c r="G12" s="199" t="s">
        <v>1341</v>
      </c>
      <c r="H12" s="147" t="str">
        <f t="shared" si="3"/>
        <v>NABAVA INOZEMNIH ZNANSTVENIH ČASOPISA</v>
      </c>
      <c r="I12" s="196">
        <v>7110</v>
      </c>
      <c r="J12" s="196">
        <v>7110</v>
      </c>
      <c r="K12" s="196">
        <v>7110</v>
      </c>
      <c r="M12" s="142" t="str">
        <f t="shared" si="4"/>
        <v>321</v>
      </c>
      <c r="N12" s="142" t="str">
        <f t="shared" si="5"/>
        <v>32</v>
      </c>
      <c r="O12" s="142">
        <v>52</v>
      </c>
      <c r="P12" s="142" t="s">
        <v>128</v>
      </c>
      <c r="R12" s="142">
        <v>3212</v>
      </c>
      <c r="S12" s="142" t="s">
        <v>71</v>
      </c>
      <c r="U12" s="142" t="str">
        <f t="shared" si="8"/>
        <v>32</v>
      </c>
      <c r="V12" s="142" t="str">
        <f t="shared" si="9"/>
        <v>321</v>
      </c>
      <c r="X12" t="s">
        <v>1458</v>
      </c>
      <c r="Y12" t="s">
        <v>1459</v>
      </c>
    </row>
    <row r="13" spans="1:25">
      <c r="A13" s="146" t="str">
        <f>IF(C13="","",VLOOKUP('Opći dio'!$C$3,'Opći dio'!$L$6:$U$136,10,FALSE))</f>
        <v>08091</v>
      </c>
      <c r="B13" s="146" t="str">
        <f>IF(C13="","",VLOOKUP('Opći dio'!$C$3,'Opći dio'!$L$6:$U$136,9,FALSE))</f>
        <v>Agencije</v>
      </c>
      <c r="C13" s="152">
        <v>12</v>
      </c>
      <c r="D13" s="147" t="str">
        <f t="shared" si="1"/>
        <v>Sredstva učešća za pomoći</v>
      </c>
      <c r="E13" s="152">
        <v>3221</v>
      </c>
      <c r="F13" s="147" t="str">
        <f t="shared" si="2"/>
        <v>Uredski materijal i ostali materijalni rashodi</v>
      </c>
      <c r="G13" s="199" t="s">
        <v>1341</v>
      </c>
      <c r="H13" s="147" t="str">
        <f t="shared" si="3"/>
        <v>NABAVA INOZEMNIH ZNANSTVENIH ČASOPISA</v>
      </c>
      <c r="I13" s="196">
        <v>9533</v>
      </c>
      <c r="J13" s="196">
        <v>9533</v>
      </c>
      <c r="K13" s="196">
        <v>9533</v>
      </c>
      <c r="M13" s="142" t="str">
        <f t="shared" si="4"/>
        <v>322</v>
      </c>
      <c r="N13" s="142" t="str">
        <f t="shared" si="5"/>
        <v>32</v>
      </c>
      <c r="O13" s="142">
        <v>552</v>
      </c>
      <c r="P13" s="142" t="s">
        <v>1644</v>
      </c>
      <c r="R13" s="142">
        <v>3213</v>
      </c>
      <c r="S13" s="142" t="s">
        <v>116</v>
      </c>
      <c r="U13" s="142" t="str">
        <f t="shared" si="8"/>
        <v>32</v>
      </c>
      <c r="V13" s="142" t="str">
        <f t="shared" si="9"/>
        <v>321</v>
      </c>
      <c r="X13" t="s">
        <v>1480</v>
      </c>
      <c r="Y13" t="s">
        <v>1481</v>
      </c>
    </row>
    <row r="14" spans="1:25">
      <c r="A14" s="146" t="str">
        <f>IF(C14="","",VLOOKUP('Opći dio'!$C$3,'Opći dio'!$L$6:$U$136,10,FALSE))</f>
        <v>08091</v>
      </c>
      <c r="B14" s="146" t="str">
        <f>IF(C14="","",VLOOKUP('Opći dio'!$C$3,'Opći dio'!$L$6:$U$136,9,FALSE))</f>
        <v>Agencije</v>
      </c>
      <c r="C14" s="152">
        <v>12</v>
      </c>
      <c r="D14" s="147" t="str">
        <f t="shared" si="1"/>
        <v>Sredstva učešća za pomoći</v>
      </c>
      <c r="E14" s="152">
        <v>3233</v>
      </c>
      <c r="F14" s="147" t="str">
        <f t="shared" si="2"/>
        <v>Usluge promidžbe i informiranja</v>
      </c>
      <c r="G14" s="199" t="s">
        <v>1341</v>
      </c>
      <c r="H14" s="147" t="str">
        <f t="shared" si="3"/>
        <v>NABAVA INOZEMNIH ZNANSTVENIH ČASOPISA</v>
      </c>
      <c r="I14" s="196">
        <v>4865700</v>
      </c>
      <c r="J14" s="196">
        <v>4963717</v>
      </c>
      <c r="K14" s="196">
        <v>5002208</v>
      </c>
      <c r="M14" s="142" t="str">
        <f t="shared" si="4"/>
        <v>323</v>
      </c>
      <c r="N14" s="142" t="str">
        <f t="shared" si="5"/>
        <v>32</v>
      </c>
      <c r="O14" s="142">
        <v>559</v>
      </c>
      <c r="P14" s="142" t="s">
        <v>1645</v>
      </c>
      <c r="R14" s="142">
        <v>3214</v>
      </c>
      <c r="S14" s="142" t="s">
        <v>146</v>
      </c>
      <c r="U14" s="142" t="str">
        <f t="shared" si="8"/>
        <v>32</v>
      </c>
      <c r="V14" s="142" t="str">
        <f t="shared" si="9"/>
        <v>321</v>
      </c>
      <c r="X14" t="s">
        <v>1482</v>
      </c>
      <c r="Y14" t="s">
        <v>1483</v>
      </c>
    </row>
    <row r="15" spans="1:25">
      <c r="A15" s="146" t="str">
        <f>IF(C15="","",VLOOKUP('Opći dio'!$C$3,'Opći dio'!$L$6:$U$136,10,FALSE))</f>
        <v>08091</v>
      </c>
      <c r="B15" s="146" t="str">
        <f>IF(C15="","",VLOOKUP('Opći dio'!$C$3,'Opći dio'!$L$6:$U$136,9,FALSE))</f>
        <v>Agencije</v>
      </c>
      <c r="C15" s="152">
        <v>12</v>
      </c>
      <c r="D15" s="147" t="str">
        <f t="shared" si="1"/>
        <v>Sredstva učešća za pomoći</v>
      </c>
      <c r="E15" s="152">
        <v>3235</v>
      </c>
      <c r="F15" s="147" t="str">
        <f t="shared" si="2"/>
        <v>Zakupnine i najamnine</v>
      </c>
      <c r="G15" s="199" t="s">
        <v>1341</v>
      </c>
      <c r="H15" s="147" t="str">
        <f t="shared" si="3"/>
        <v>NABAVA INOZEMNIH ZNANSTVENIH ČASOPISA</v>
      </c>
      <c r="I15" s="196">
        <v>915</v>
      </c>
      <c r="J15" s="196">
        <v>915</v>
      </c>
      <c r="K15" s="196">
        <v>915</v>
      </c>
      <c r="M15" s="142" t="str">
        <f t="shared" si="4"/>
        <v>323</v>
      </c>
      <c r="N15" s="142" t="str">
        <f t="shared" si="5"/>
        <v>32</v>
      </c>
      <c r="O15" s="142">
        <v>561</v>
      </c>
      <c r="P15" s="142" t="s">
        <v>130</v>
      </c>
      <c r="R15" s="142">
        <v>3221</v>
      </c>
      <c r="S15" s="142" t="s">
        <v>98</v>
      </c>
      <c r="U15" s="142" t="str">
        <f t="shared" si="8"/>
        <v>32</v>
      </c>
      <c r="V15" s="142" t="str">
        <f t="shared" si="9"/>
        <v>322</v>
      </c>
      <c r="X15" t="s">
        <v>67</v>
      </c>
      <c r="Y15" t="s">
        <v>68</v>
      </c>
    </row>
    <row r="16" spans="1:25">
      <c r="A16" s="146" t="str">
        <f>IF(C16="","",VLOOKUP('Opći dio'!$C$3,'Opći dio'!$L$6:$U$136,10,FALSE))</f>
        <v>08091</v>
      </c>
      <c r="B16" s="146" t="str">
        <f>IF(C16="","",VLOOKUP('Opći dio'!$C$3,'Opći dio'!$L$6:$U$136,9,FALSE))</f>
        <v>Agencije</v>
      </c>
      <c r="C16" s="152">
        <v>12</v>
      </c>
      <c r="D16" s="147" t="str">
        <f t="shared" si="1"/>
        <v>Sredstva učešća za pomoći</v>
      </c>
      <c r="E16" s="152">
        <v>3239</v>
      </c>
      <c r="F16" s="147" t="str">
        <f t="shared" si="2"/>
        <v>Ostale usluge</v>
      </c>
      <c r="G16" s="199" t="s">
        <v>1341</v>
      </c>
      <c r="H16" s="147" t="str">
        <f t="shared" si="3"/>
        <v>NABAVA INOZEMNIH ZNANSTVENIH ČASOPISA</v>
      </c>
      <c r="I16" s="196">
        <v>2323</v>
      </c>
      <c r="J16" s="196">
        <v>2323</v>
      </c>
      <c r="K16" s="196">
        <v>2323</v>
      </c>
      <c r="M16" s="142" t="str">
        <f t="shared" si="4"/>
        <v>323</v>
      </c>
      <c r="N16" s="142" t="str">
        <f t="shared" si="5"/>
        <v>32</v>
      </c>
      <c r="O16" s="142">
        <v>563</v>
      </c>
      <c r="P16" s="142" t="s">
        <v>132</v>
      </c>
      <c r="R16" s="142">
        <v>3222</v>
      </c>
      <c r="S16" s="142" t="s">
        <v>119</v>
      </c>
      <c r="U16" s="142" t="str">
        <f t="shared" si="8"/>
        <v>32</v>
      </c>
      <c r="V16" s="142" t="str">
        <f t="shared" si="9"/>
        <v>322</v>
      </c>
      <c r="X16" t="s">
        <v>77</v>
      </c>
      <c r="Y16" t="s">
        <v>78</v>
      </c>
    </row>
    <row r="17" spans="1:25">
      <c r="A17" s="146" t="str">
        <f>IF(C17="","",VLOOKUP('Opći dio'!$C$3,'Opći dio'!$L$6:$U$136,10,FALSE))</f>
        <v>08091</v>
      </c>
      <c r="B17" s="146" t="str">
        <f>IF(C17="","",VLOOKUP('Opći dio'!$C$3,'Opći dio'!$L$6:$U$136,9,FALSE))</f>
        <v>Agencije</v>
      </c>
      <c r="C17" s="152">
        <v>12</v>
      </c>
      <c r="D17" s="147" t="str">
        <f t="shared" si="1"/>
        <v>Sredstva učešća za pomoći</v>
      </c>
      <c r="E17" s="152">
        <v>3241</v>
      </c>
      <c r="F17" s="147" t="str">
        <f t="shared" si="2"/>
        <v>Naknade troškova osobama izvan radnog odnosa</v>
      </c>
      <c r="G17" s="199" t="s">
        <v>1341</v>
      </c>
      <c r="H17" s="147" t="str">
        <f t="shared" si="3"/>
        <v>NABAVA INOZEMNIH ZNANSTVENIH ČASOPISA</v>
      </c>
      <c r="I17" s="196">
        <v>525</v>
      </c>
      <c r="J17" s="196">
        <v>525</v>
      </c>
      <c r="K17" s="196">
        <v>525</v>
      </c>
      <c r="M17" s="142" t="str">
        <f t="shared" si="4"/>
        <v>324</v>
      </c>
      <c r="N17" s="142" t="str">
        <f t="shared" si="5"/>
        <v>32</v>
      </c>
      <c r="O17" s="142">
        <v>573</v>
      </c>
      <c r="P17" s="142" t="s">
        <v>1656</v>
      </c>
      <c r="R17" s="142">
        <v>3223</v>
      </c>
      <c r="S17" s="142" t="s">
        <v>107</v>
      </c>
      <c r="U17" s="142" t="str">
        <f t="shared" si="8"/>
        <v>32</v>
      </c>
      <c r="V17" s="142" t="str">
        <f t="shared" si="9"/>
        <v>322</v>
      </c>
      <c r="X17" t="s">
        <v>80</v>
      </c>
      <c r="Y17" t="s">
        <v>81</v>
      </c>
    </row>
    <row r="18" spans="1:25">
      <c r="A18" s="146" t="str">
        <f>IF(C18="","",VLOOKUP('Opći dio'!$C$3,'Opći dio'!$L$6:$U$136,10,FALSE))</f>
        <v>08091</v>
      </c>
      <c r="B18" s="146" t="str">
        <f>IF(C18="","",VLOOKUP('Opći dio'!$C$3,'Opći dio'!$L$6:$U$136,9,FALSE))</f>
        <v>Agencije</v>
      </c>
      <c r="C18" s="152">
        <v>12</v>
      </c>
      <c r="D18" s="147" t="str">
        <f t="shared" si="1"/>
        <v>Sredstva učešća za pomoći</v>
      </c>
      <c r="E18" s="152">
        <v>3294</v>
      </c>
      <c r="F18" s="147" t="str">
        <f t="shared" si="2"/>
        <v>Članarine i norme</v>
      </c>
      <c r="G18" s="199" t="s">
        <v>1341</v>
      </c>
      <c r="H18" s="147" t="str">
        <f t="shared" si="3"/>
        <v>NABAVA INOZEMNIH ZNANSTVENIH ČASOPISA</v>
      </c>
      <c r="I18" s="196">
        <v>541</v>
      </c>
      <c r="J18" s="196">
        <v>541</v>
      </c>
      <c r="K18" s="196">
        <v>541</v>
      </c>
      <c r="M18" s="142" t="str">
        <f t="shared" si="4"/>
        <v>329</v>
      </c>
      <c r="N18" s="142" t="str">
        <f t="shared" si="5"/>
        <v>32</v>
      </c>
      <c r="O18" s="142">
        <v>575</v>
      </c>
      <c r="P18" s="142" t="s">
        <v>1658</v>
      </c>
      <c r="R18" s="142">
        <v>3224</v>
      </c>
      <c r="S18" s="142" t="s">
        <v>112</v>
      </c>
      <c r="U18" s="142" t="str">
        <f t="shared" si="8"/>
        <v>32</v>
      </c>
      <c r="V18" s="142" t="str">
        <f t="shared" si="9"/>
        <v>322</v>
      </c>
      <c r="X18" t="s">
        <v>82</v>
      </c>
      <c r="Y18" t="s">
        <v>83</v>
      </c>
    </row>
    <row r="19" spans="1:25">
      <c r="A19" s="146" t="str">
        <f>IF(C19="","",VLOOKUP('Opći dio'!$C$3,'Opći dio'!$L$6:$U$136,10,FALSE))</f>
        <v>08091</v>
      </c>
      <c r="B19" s="146" t="str">
        <f>IF(C19="","",VLOOKUP('Opći dio'!$C$3,'Opći dio'!$L$6:$U$136,9,FALSE))</f>
        <v>Agencije</v>
      </c>
      <c r="C19" s="152">
        <v>11</v>
      </c>
      <c r="D19" s="147" t="str">
        <f t="shared" si="1"/>
        <v>Opći prihodi i primici</v>
      </c>
      <c r="E19" s="152">
        <v>3233</v>
      </c>
      <c r="F19" s="147" t="str">
        <f t="shared" si="2"/>
        <v>Usluge promidžbe i informiranja</v>
      </c>
      <c r="G19" s="199" t="s">
        <v>1341</v>
      </c>
      <c r="H19" s="147" t="str">
        <f t="shared" si="3"/>
        <v>NABAVA INOZEMNIH ZNANSTVENIH ČASOPISA</v>
      </c>
      <c r="I19" s="196">
        <v>6607600</v>
      </c>
      <c r="J19" s="196">
        <v>7400000</v>
      </c>
      <c r="K19" s="196">
        <v>7770000</v>
      </c>
      <c r="M19" s="142" t="str">
        <f t="shared" si="4"/>
        <v>323</v>
      </c>
      <c r="N19" s="142" t="str">
        <f t="shared" si="5"/>
        <v>32</v>
      </c>
      <c r="O19" s="142">
        <v>61</v>
      </c>
      <c r="P19" s="142" t="s">
        <v>134</v>
      </c>
      <c r="R19" s="142">
        <v>3225</v>
      </c>
      <c r="S19" s="142" t="s">
        <v>120</v>
      </c>
      <c r="U19" s="142" t="str">
        <f t="shared" si="8"/>
        <v>32</v>
      </c>
      <c r="V19" s="142" t="str">
        <f t="shared" si="9"/>
        <v>322</v>
      </c>
      <c r="X19" t="s">
        <v>865</v>
      </c>
      <c r="Y19" t="s">
        <v>866</v>
      </c>
    </row>
    <row r="20" spans="1:25">
      <c r="A20" s="146" t="str">
        <f>IF(C20="","",VLOOKUP('Opći dio'!$C$3,'Opći dio'!$L$6:$U$136,10,FALSE))</f>
        <v>08091</v>
      </c>
      <c r="B20" s="146" t="str">
        <f>IF(C20="","",VLOOKUP('Opći dio'!$C$3,'Opći dio'!$L$6:$U$136,9,FALSE))</f>
        <v>Agencije</v>
      </c>
      <c r="C20" s="152">
        <v>11</v>
      </c>
      <c r="D20" s="147" t="str">
        <f t="shared" si="1"/>
        <v>Opći prihodi i primici</v>
      </c>
      <c r="E20" s="152">
        <v>3211</v>
      </c>
      <c r="F20" s="147" t="str">
        <f t="shared" si="2"/>
        <v>Službena putovanja</v>
      </c>
      <c r="G20" s="199" t="s">
        <v>1339</v>
      </c>
      <c r="H20" s="147" t="str">
        <f t="shared" si="3"/>
        <v>ADMINISTRACIJA I UPRAVLJANJE NACIONALNE SVEUČILIŠNE KNJIŽNICE</v>
      </c>
      <c r="I20" s="196">
        <v>85000</v>
      </c>
      <c r="J20" s="196">
        <v>85000</v>
      </c>
      <c r="K20" s="196">
        <v>85000</v>
      </c>
      <c r="M20" s="142" t="str">
        <f t="shared" si="4"/>
        <v>321</v>
      </c>
      <c r="N20" s="142" t="str">
        <f t="shared" si="5"/>
        <v>32</v>
      </c>
      <c r="O20" s="142">
        <v>71</v>
      </c>
      <c r="P20" s="142" t="s">
        <v>193</v>
      </c>
      <c r="R20" s="142">
        <v>3226</v>
      </c>
      <c r="S20" s="142" t="s">
        <v>195</v>
      </c>
      <c r="U20" s="142" t="str">
        <f t="shared" si="8"/>
        <v>32</v>
      </c>
      <c r="V20" s="142" t="str">
        <f t="shared" si="9"/>
        <v>322</v>
      </c>
      <c r="X20" t="s">
        <v>87</v>
      </c>
      <c r="Y20" t="s">
        <v>88</v>
      </c>
    </row>
    <row r="21" spans="1:25">
      <c r="A21" s="146" t="str">
        <f>IF(C21="","",VLOOKUP('Opći dio'!$C$3,'Opći dio'!$L$6:$U$136,10,FALSE))</f>
        <v>08091</v>
      </c>
      <c r="B21" s="146" t="str">
        <f>IF(C21="","",VLOOKUP('Opći dio'!$C$3,'Opći dio'!$L$6:$U$136,9,FALSE))</f>
        <v>Agencije</v>
      </c>
      <c r="C21" s="152">
        <v>11</v>
      </c>
      <c r="D21" s="147" t="str">
        <f t="shared" si="1"/>
        <v>Opći prihodi i primici</v>
      </c>
      <c r="E21" s="152">
        <v>3213</v>
      </c>
      <c r="F21" s="147" t="str">
        <f t="shared" si="2"/>
        <v>Stručno usavršavanje zaposlenika</v>
      </c>
      <c r="G21" s="199" t="s">
        <v>1339</v>
      </c>
      <c r="H21" s="147" t="str">
        <f t="shared" si="3"/>
        <v>ADMINISTRACIJA I UPRAVLJANJE NACIONALNE SVEUČILIŠNE KNJIŽNICE</v>
      </c>
      <c r="I21" s="196">
        <v>40000</v>
      </c>
      <c r="J21" s="196">
        <v>40000</v>
      </c>
      <c r="K21" s="196">
        <v>40000</v>
      </c>
      <c r="M21" s="142" t="str">
        <f t="shared" si="4"/>
        <v>321</v>
      </c>
      <c r="N21" s="142" t="str">
        <f t="shared" si="5"/>
        <v>32</v>
      </c>
      <c r="O21" s="142">
        <v>81</v>
      </c>
      <c r="P21" s="142" t="s">
        <v>75</v>
      </c>
      <c r="R21" s="142">
        <v>3227</v>
      </c>
      <c r="S21" s="142" t="s">
        <v>137</v>
      </c>
      <c r="U21" s="142" t="str">
        <f t="shared" si="8"/>
        <v>32</v>
      </c>
      <c r="V21" s="142" t="str">
        <f t="shared" si="9"/>
        <v>322</v>
      </c>
      <c r="X21" t="s">
        <v>89</v>
      </c>
      <c r="Y21" t="s">
        <v>90</v>
      </c>
    </row>
    <row r="22" spans="1:25">
      <c r="A22" s="146" t="str">
        <f>IF(C22="","",VLOOKUP('Opći dio'!$C$3,'Opći dio'!$L$6:$U$136,10,FALSE))</f>
        <v>08091</v>
      </c>
      <c r="B22" s="146" t="str">
        <f>IF(C22="","",VLOOKUP('Opći dio'!$C$3,'Opći dio'!$L$6:$U$136,9,FALSE))</f>
        <v>Agencije</v>
      </c>
      <c r="C22" s="152">
        <v>11</v>
      </c>
      <c r="D22" s="147" t="str">
        <f t="shared" si="1"/>
        <v>Opći prihodi i primici</v>
      </c>
      <c r="E22" s="152">
        <v>3221</v>
      </c>
      <c r="F22" s="147" t="str">
        <f t="shared" si="2"/>
        <v>Uredski materijal i ostali materijalni rashodi</v>
      </c>
      <c r="G22" s="199" t="s">
        <v>1339</v>
      </c>
      <c r="H22" s="147" t="str">
        <f t="shared" si="3"/>
        <v>ADMINISTRACIJA I UPRAVLJANJE NACIONALNE SVEUČILIŠNE KNJIŽNICE</v>
      </c>
      <c r="I22" s="196">
        <v>557410</v>
      </c>
      <c r="J22" s="196">
        <v>557410</v>
      </c>
      <c r="K22" s="196">
        <v>557410</v>
      </c>
      <c r="M22" s="142" t="str">
        <f t="shared" si="4"/>
        <v>322</v>
      </c>
      <c r="N22" s="142" t="str">
        <f t="shared" si="5"/>
        <v>32</v>
      </c>
      <c r="O22" s="142">
        <v>83</v>
      </c>
      <c r="P22" s="142" t="s">
        <v>1646</v>
      </c>
      <c r="R22" s="142">
        <v>3231</v>
      </c>
      <c r="S22" s="142" t="s">
        <v>121</v>
      </c>
      <c r="U22" s="142" t="str">
        <f t="shared" si="8"/>
        <v>32</v>
      </c>
      <c r="V22" s="142" t="str">
        <f t="shared" si="9"/>
        <v>323</v>
      </c>
      <c r="X22" t="s">
        <v>91</v>
      </c>
      <c r="Y22" t="s">
        <v>92</v>
      </c>
    </row>
    <row r="23" spans="1:25">
      <c r="A23" s="146" t="str">
        <f>IF(C23="","",VLOOKUP('Opći dio'!$C$3,'Opći dio'!$L$6:$U$136,10,FALSE))</f>
        <v>08091</v>
      </c>
      <c r="B23" s="146" t="str">
        <f>IF(C23="","",VLOOKUP('Opći dio'!$C$3,'Opći dio'!$L$6:$U$136,9,FALSE))</f>
        <v>Agencije</v>
      </c>
      <c r="C23" s="152">
        <v>11</v>
      </c>
      <c r="D23" s="147" t="str">
        <f t="shared" si="1"/>
        <v>Opći prihodi i primici</v>
      </c>
      <c r="E23" s="152">
        <v>3223</v>
      </c>
      <c r="F23" s="147" t="str">
        <f t="shared" si="2"/>
        <v>Energija</v>
      </c>
      <c r="G23" s="199" t="s">
        <v>1339</v>
      </c>
      <c r="H23" s="147" t="str">
        <f t="shared" si="3"/>
        <v>ADMINISTRACIJA I UPRAVLJANJE NACIONALNE SVEUČILIŠNE KNJIŽNICE</v>
      </c>
      <c r="I23" s="196">
        <v>8000000</v>
      </c>
      <c r="J23" s="196">
        <v>8000000</v>
      </c>
      <c r="K23" s="196">
        <v>8000000</v>
      </c>
      <c r="M23" s="142" t="str">
        <f t="shared" si="4"/>
        <v>322</v>
      </c>
      <c r="N23" s="142" t="str">
        <f t="shared" si="5"/>
        <v>32</v>
      </c>
      <c r="R23" s="142">
        <v>3232</v>
      </c>
      <c r="S23" s="142" t="s">
        <v>108</v>
      </c>
      <c r="U23" s="142" t="str">
        <f t="shared" si="8"/>
        <v>32</v>
      </c>
      <c r="V23" s="142" t="str">
        <f t="shared" si="9"/>
        <v>323</v>
      </c>
      <c r="X23" t="s">
        <v>1417</v>
      </c>
      <c r="Y23" t="s">
        <v>1418</v>
      </c>
    </row>
    <row r="24" spans="1:25">
      <c r="A24" s="146" t="str">
        <f>IF(C24="","",VLOOKUP('Opći dio'!$C$3,'Opći dio'!$L$6:$U$136,10,FALSE))</f>
        <v>08091</v>
      </c>
      <c r="B24" s="146" t="str">
        <f>IF(C24="","",VLOOKUP('Opći dio'!$C$3,'Opći dio'!$L$6:$U$136,9,FALSE))</f>
        <v>Agencije</v>
      </c>
      <c r="C24" s="152">
        <v>11</v>
      </c>
      <c r="D24" s="147" t="str">
        <f t="shared" si="1"/>
        <v>Opći prihodi i primici</v>
      </c>
      <c r="E24" s="152">
        <v>3224</v>
      </c>
      <c r="F24" s="147" t="str">
        <f t="shared" si="2"/>
        <v>Materijal i dijelovi za tekuće i investicijsko održavanje</v>
      </c>
      <c r="G24" s="199" t="s">
        <v>1339</v>
      </c>
      <c r="H24" s="147" t="str">
        <f t="shared" si="3"/>
        <v>ADMINISTRACIJA I UPRAVLJANJE NACIONALNE SVEUČILIŠNE KNJIŽNICE</v>
      </c>
      <c r="I24" s="196">
        <v>262039</v>
      </c>
      <c r="J24" s="196">
        <v>262039</v>
      </c>
      <c r="K24" s="196">
        <v>262039</v>
      </c>
      <c r="M24" s="142" t="str">
        <f t="shared" si="4"/>
        <v>322</v>
      </c>
      <c r="N24" s="142" t="str">
        <f t="shared" si="5"/>
        <v>32</v>
      </c>
      <c r="R24" s="142">
        <v>3233</v>
      </c>
      <c r="S24" s="142" t="s">
        <v>96</v>
      </c>
      <c r="U24" s="142" t="str">
        <f t="shared" si="8"/>
        <v>32</v>
      </c>
      <c r="V24" s="142" t="str">
        <f t="shared" si="9"/>
        <v>323</v>
      </c>
      <c r="X24" t="s">
        <v>94</v>
      </c>
      <c r="Y24" t="s">
        <v>95</v>
      </c>
    </row>
    <row r="25" spans="1:25">
      <c r="A25" s="146" t="str">
        <f>IF(C25="","",VLOOKUP('Opći dio'!$C$3,'Opći dio'!$L$6:$U$136,10,FALSE))</f>
        <v>08091</v>
      </c>
      <c r="B25" s="146" t="str">
        <f>IF(C25="","",VLOOKUP('Opći dio'!$C$3,'Opći dio'!$L$6:$U$136,9,FALSE))</f>
        <v>Agencije</v>
      </c>
      <c r="C25" s="152">
        <v>11</v>
      </c>
      <c r="D25" s="147" t="str">
        <f t="shared" si="1"/>
        <v>Opći prihodi i primici</v>
      </c>
      <c r="E25" s="152">
        <v>3225</v>
      </c>
      <c r="F25" s="147" t="str">
        <f t="shared" si="2"/>
        <v>Sitni inventar i auto gume</v>
      </c>
      <c r="G25" s="199" t="s">
        <v>1339</v>
      </c>
      <c r="H25" s="147" t="str">
        <f t="shared" si="3"/>
        <v>ADMINISTRACIJA I UPRAVLJANJE NACIONALNE SVEUČILIŠNE KNJIŽNICE</v>
      </c>
      <c r="I25" s="196">
        <v>5000</v>
      </c>
      <c r="J25" s="196">
        <v>5000</v>
      </c>
      <c r="K25" s="196">
        <v>5000</v>
      </c>
      <c r="M25" s="142" t="str">
        <f t="shared" si="4"/>
        <v>322</v>
      </c>
      <c r="N25" s="142" t="str">
        <f t="shared" si="5"/>
        <v>32</v>
      </c>
      <c r="R25" s="142">
        <v>3234</v>
      </c>
      <c r="S25" s="142" t="s">
        <v>109</v>
      </c>
      <c r="U25" s="142" t="str">
        <f t="shared" si="8"/>
        <v>32</v>
      </c>
      <c r="V25" s="142" t="str">
        <f t="shared" si="9"/>
        <v>323</v>
      </c>
      <c r="X25" t="s">
        <v>1419</v>
      </c>
      <c r="Y25" t="s">
        <v>1420</v>
      </c>
    </row>
    <row r="26" spans="1:25">
      <c r="A26" s="146" t="str">
        <f>IF(C26="","",VLOOKUP('Opći dio'!$C$3,'Opći dio'!$L$6:$U$136,10,FALSE))</f>
        <v>08091</v>
      </c>
      <c r="B26" s="146" t="str">
        <f>IF(C26="","",VLOOKUP('Opći dio'!$C$3,'Opći dio'!$L$6:$U$136,9,FALSE))</f>
        <v>Agencije</v>
      </c>
      <c r="C26" s="152">
        <v>11</v>
      </c>
      <c r="D26" s="147" t="str">
        <f t="shared" si="1"/>
        <v>Opći prihodi i primici</v>
      </c>
      <c r="E26" s="152">
        <v>3231</v>
      </c>
      <c r="F26" s="147" t="str">
        <f t="shared" si="2"/>
        <v>Usluge telefona, pošte i prijevoza</v>
      </c>
      <c r="G26" s="199" t="s">
        <v>1339</v>
      </c>
      <c r="H26" s="147" t="str">
        <f t="shared" si="3"/>
        <v>ADMINISTRACIJA I UPRAVLJANJE NACIONALNE SVEUČILIŠNE KNJIŽNICE</v>
      </c>
      <c r="I26" s="196">
        <v>350000</v>
      </c>
      <c r="J26" s="196">
        <v>350000</v>
      </c>
      <c r="K26" s="196">
        <v>350000</v>
      </c>
      <c r="M26" s="142" t="str">
        <f t="shared" si="4"/>
        <v>323</v>
      </c>
      <c r="N26" s="142" t="str">
        <f t="shared" si="5"/>
        <v>32</v>
      </c>
      <c r="R26" s="142">
        <v>3235</v>
      </c>
      <c r="S26" s="142" t="s">
        <v>129</v>
      </c>
      <c r="U26" s="142" t="str">
        <f t="shared" si="8"/>
        <v>32</v>
      </c>
      <c r="V26" s="142" t="str">
        <f t="shared" si="9"/>
        <v>323</v>
      </c>
      <c r="X26" t="s">
        <v>869</v>
      </c>
      <c r="Y26" t="s">
        <v>870</v>
      </c>
    </row>
    <row r="27" spans="1:25">
      <c r="A27" s="146" t="str">
        <f>IF(C27="","",VLOOKUP('Opći dio'!$C$3,'Opći dio'!$L$6:$U$136,10,FALSE))</f>
        <v>08091</v>
      </c>
      <c r="B27" s="146" t="str">
        <f>IF(C27="","",VLOOKUP('Opći dio'!$C$3,'Opći dio'!$L$6:$U$136,9,FALSE))</f>
        <v>Agencije</v>
      </c>
      <c r="C27" s="152">
        <v>11</v>
      </c>
      <c r="D27" s="147" t="str">
        <f t="shared" si="1"/>
        <v>Opći prihodi i primici</v>
      </c>
      <c r="E27" s="152">
        <v>3232</v>
      </c>
      <c r="F27" s="147" t="str">
        <f t="shared" si="2"/>
        <v>Usluge tekućeg i investicijskog održavanja</v>
      </c>
      <c r="G27" s="199" t="s">
        <v>1339</v>
      </c>
      <c r="H27" s="147" t="str">
        <f t="shared" si="3"/>
        <v>ADMINISTRACIJA I UPRAVLJANJE NACIONALNE SVEUČILIŠNE KNJIŽNICE</v>
      </c>
      <c r="I27" s="196">
        <v>1896283</v>
      </c>
      <c r="J27" s="196">
        <v>1896283</v>
      </c>
      <c r="K27" s="196">
        <v>1896283</v>
      </c>
      <c r="M27" s="142" t="str">
        <f t="shared" si="4"/>
        <v>323</v>
      </c>
      <c r="N27" s="142" t="str">
        <f t="shared" si="5"/>
        <v>32</v>
      </c>
      <c r="R27" s="142">
        <v>3236</v>
      </c>
      <c r="S27" s="142" t="s">
        <v>72</v>
      </c>
      <c r="U27" s="142" t="str">
        <f t="shared" si="8"/>
        <v>32</v>
      </c>
      <c r="V27" s="142" t="str">
        <f t="shared" si="9"/>
        <v>323</v>
      </c>
      <c r="X27" t="s">
        <v>1259</v>
      </c>
      <c r="Y27" t="s">
        <v>1260</v>
      </c>
    </row>
    <row r="28" spans="1:25">
      <c r="A28" s="146" t="str">
        <f>IF(C28="","",VLOOKUP('Opći dio'!$C$3,'Opći dio'!$L$6:$U$136,10,FALSE))</f>
        <v>08091</v>
      </c>
      <c r="B28" s="146" t="str">
        <f>IF(C28="","",VLOOKUP('Opći dio'!$C$3,'Opći dio'!$L$6:$U$136,9,FALSE))</f>
        <v>Agencije</v>
      </c>
      <c r="C28" s="152">
        <v>11</v>
      </c>
      <c r="D28" s="147" t="str">
        <f t="shared" si="1"/>
        <v>Opći prihodi i primici</v>
      </c>
      <c r="E28" s="152">
        <v>3233</v>
      </c>
      <c r="F28" s="147" t="str">
        <f t="shared" si="2"/>
        <v>Usluge promidžbe i informiranja</v>
      </c>
      <c r="G28" s="199" t="s">
        <v>1339</v>
      </c>
      <c r="H28" s="147" t="str">
        <f t="shared" si="3"/>
        <v>ADMINISTRACIJA I UPRAVLJANJE NACIONALNE SVEUČILIŠNE KNJIŽNICE</v>
      </c>
      <c r="I28" s="196">
        <v>53772</v>
      </c>
      <c r="J28" s="196">
        <v>53772</v>
      </c>
      <c r="K28" s="196">
        <v>53772</v>
      </c>
      <c r="M28" s="142" t="str">
        <f t="shared" si="4"/>
        <v>323</v>
      </c>
      <c r="N28" s="142" t="str">
        <f t="shared" si="5"/>
        <v>32</v>
      </c>
      <c r="R28" s="142">
        <v>3237</v>
      </c>
      <c r="S28" s="142" t="s">
        <v>85</v>
      </c>
      <c r="U28" s="142" t="str">
        <f t="shared" si="8"/>
        <v>32</v>
      </c>
      <c r="V28" s="142" t="str">
        <f t="shared" si="9"/>
        <v>323</v>
      </c>
      <c r="X28" t="s">
        <v>1421</v>
      </c>
      <c r="Y28" t="s">
        <v>1422</v>
      </c>
    </row>
    <row r="29" spans="1:25">
      <c r="A29" s="146" t="str">
        <f>IF(C29="","",VLOOKUP('Opći dio'!$C$3,'Opći dio'!$L$6:$U$136,10,FALSE))</f>
        <v>08091</v>
      </c>
      <c r="B29" s="146" t="str">
        <f>IF(C29="","",VLOOKUP('Opći dio'!$C$3,'Opći dio'!$L$6:$U$136,9,FALSE))</f>
        <v>Agencije</v>
      </c>
      <c r="C29" s="152">
        <v>11</v>
      </c>
      <c r="D29" s="147" t="str">
        <f t="shared" si="1"/>
        <v>Opći prihodi i primici</v>
      </c>
      <c r="E29" s="152">
        <v>3234</v>
      </c>
      <c r="F29" s="147" t="str">
        <f t="shared" si="2"/>
        <v>Komunalne usluge</v>
      </c>
      <c r="G29" s="199" t="s">
        <v>1339</v>
      </c>
      <c r="H29" s="147" t="str">
        <f t="shared" si="3"/>
        <v>ADMINISTRACIJA I UPRAVLJANJE NACIONALNE SVEUČILIŠNE KNJIŽNICE</v>
      </c>
      <c r="I29" s="196">
        <v>1292000</v>
      </c>
      <c r="J29" s="196">
        <v>1292000</v>
      </c>
      <c r="K29" s="196">
        <v>1292000</v>
      </c>
      <c r="M29" s="142" t="str">
        <f t="shared" si="4"/>
        <v>323</v>
      </c>
      <c r="N29" s="142" t="str">
        <f t="shared" si="5"/>
        <v>32</v>
      </c>
      <c r="R29" s="142">
        <v>3238</v>
      </c>
      <c r="S29" s="142" t="s">
        <v>122</v>
      </c>
      <c r="U29" s="142" t="str">
        <f t="shared" si="8"/>
        <v>32</v>
      </c>
      <c r="V29" s="142" t="str">
        <f t="shared" si="9"/>
        <v>323</v>
      </c>
      <c r="X29" t="s">
        <v>1261</v>
      </c>
      <c r="Y29" t="s">
        <v>1262</v>
      </c>
    </row>
    <row r="30" spans="1:25">
      <c r="A30" s="146" t="str">
        <f>IF(C30="","",VLOOKUP('Opći dio'!$C$3,'Opći dio'!$L$6:$U$136,10,FALSE))</f>
        <v>08091</v>
      </c>
      <c r="B30" s="146" t="str">
        <f>IF(C30="","",VLOOKUP('Opći dio'!$C$3,'Opći dio'!$L$6:$U$136,9,FALSE))</f>
        <v>Agencije</v>
      </c>
      <c r="C30" s="152">
        <v>11</v>
      </c>
      <c r="D30" s="147" t="str">
        <f t="shared" si="1"/>
        <v>Opći prihodi i primici</v>
      </c>
      <c r="E30" s="152">
        <v>3235</v>
      </c>
      <c r="F30" s="147" t="str">
        <f t="shared" si="2"/>
        <v>Zakupnine i najamnine</v>
      </c>
      <c r="G30" s="199" t="s">
        <v>1339</v>
      </c>
      <c r="H30" s="147" t="str">
        <f t="shared" si="3"/>
        <v>ADMINISTRACIJA I UPRAVLJANJE NACIONALNE SVEUČILIŠNE KNJIŽNICE</v>
      </c>
      <c r="I30" s="196">
        <v>69000</v>
      </c>
      <c r="J30" s="196">
        <v>69000</v>
      </c>
      <c r="K30" s="196">
        <v>69000</v>
      </c>
      <c r="M30" s="142" t="str">
        <f t="shared" si="4"/>
        <v>323</v>
      </c>
      <c r="N30" s="142" t="str">
        <f t="shared" si="5"/>
        <v>32</v>
      </c>
      <c r="R30" s="142">
        <v>3239</v>
      </c>
      <c r="S30" s="142" t="s">
        <v>102</v>
      </c>
      <c r="U30" s="142" t="str">
        <f t="shared" si="8"/>
        <v>32</v>
      </c>
      <c r="V30" s="142" t="str">
        <f t="shared" si="9"/>
        <v>323</v>
      </c>
      <c r="X30" t="s">
        <v>1423</v>
      </c>
      <c r="Y30" t="s">
        <v>1424</v>
      </c>
    </row>
    <row r="31" spans="1:25">
      <c r="A31" s="146" t="str">
        <f>IF(C31="","",VLOOKUP('Opći dio'!$C$3,'Opći dio'!$L$6:$U$136,10,FALSE))</f>
        <v>08091</v>
      </c>
      <c r="B31" s="146" t="str">
        <f>IF(C31="","",VLOOKUP('Opći dio'!$C$3,'Opći dio'!$L$6:$U$136,9,FALSE))</f>
        <v>Agencije</v>
      </c>
      <c r="C31" s="152">
        <v>11</v>
      </c>
      <c r="D31" s="147" t="str">
        <f t="shared" si="1"/>
        <v>Opći prihodi i primici</v>
      </c>
      <c r="E31" s="152">
        <v>3236</v>
      </c>
      <c r="F31" s="147" t="str">
        <f t="shared" si="2"/>
        <v>Zdravstvene i veterinarske usluge</v>
      </c>
      <c r="G31" s="199" t="s">
        <v>1339</v>
      </c>
      <c r="H31" s="147" t="str">
        <f t="shared" si="3"/>
        <v>ADMINISTRACIJA I UPRAVLJANJE NACIONALNE SVEUČILIŠNE KNJIŽNICE</v>
      </c>
      <c r="I31" s="196">
        <v>63000</v>
      </c>
      <c r="J31" s="196">
        <v>63000</v>
      </c>
      <c r="K31" s="196">
        <v>63000</v>
      </c>
      <c r="M31" s="142" t="str">
        <f t="shared" si="4"/>
        <v>323</v>
      </c>
      <c r="N31" s="142" t="str">
        <f t="shared" si="5"/>
        <v>32</v>
      </c>
      <c r="R31" s="142">
        <v>3241</v>
      </c>
      <c r="S31" s="142" t="s">
        <v>99</v>
      </c>
      <c r="U31" s="142" t="str">
        <f t="shared" si="8"/>
        <v>32</v>
      </c>
      <c r="V31" s="142" t="str">
        <f t="shared" si="9"/>
        <v>324</v>
      </c>
      <c r="X31" t="s">
        <v>1425</v>
      </c>
      <c r="Y31" t="s">
        <v>1426</v>
      </c>
    </row>
    <row r="32" spans="1:25">
      <c r="A32" s="146" t="str">
        <f>IF(C32="","",VLOOKUP('Opći dio'!$C$3,'Opći dio'!$L$6:$U$136,10,FALSE))</f>
        <v>08091</v>
      </c>
      <c r="B32" s="146" t="str">
        <f>IF(C32="","",VLOOKUP('Opći dio'!$C$3,'Opći dio'!$L$6:$U$136,9,FALSE))</f>
        <v>Agencije</v>
      </c>
      <c r="C32" s="152">
        <v>11</v>
      </c>
      <c r="D32" s="147" t="str">
        <f t="shared" si="1"/>
        <v>Opći prihodi i primici</v>
      </c>
      <c r="E32" s="152">
        <v>3237</v>
      </c>
      <c r="F32" s="147" t="str">
        <f t="shared" si="2"/>
        <v>Intelektualne i osobne usluge</v>
      </c>
      <c r="G32" s="199" t="s">
        <v>1339</v>
      </c>
      <c r="H32" s="147" t="str">
        <f t="shared" si="3"/>
        <v>ADMINISTRACIJA I UPRAVLJANJE NACIONALNE SVEUČILIŠNE KNJIŽNICE</v>
      </c>
      <c r="I32" s="196">
        <v>520000</v>
      </c>
      <c r="J32" s="196">
        <v>520000</v>
      </c>
      <c r="K32" s="196">
        <v>520000</v>
      </c>
      <c r="M32" s="142" t="str">
        <f t="shared" si="4"/>
        <v>323</v>
      </c>
      <c r="N32" s="142" t="str">
        <f t="shared" si="5"/>
        <v>32</v>
      </c>
      <c r="R32" s="142">
        <v>3291</v>
      </c>
      <c r="S32" s="142" t="s">
        <v>100</v>
      </c>
      <c r="U32" s="142" t="str">
        <f t="shared" si="8"/>
        <v>32</v>
      </c>
      <c r="V32" s="142" t="str">
        <f t="shared" si="9"/>
        <v>329</v>
      </c>
      <c r="X32" t="s">
        <v>1427</v>
      </c>
      <c r="Y32" t="s">
        <v>1428</v>
      </c>
    </row>
    <row r="33" spans="1:25">
      <c r="A33" s="146" t="str">
        <f>IF(C33="","",VLOOKUP('Opći dio'!$C$3,'Opći dio'!$L$6:$U$136,10,FALSE))</f>
        <v>08091</v>
      </c>
      <c r="B33" s="146" t="str">
        <f>IF(C33="","",VLOOKUP('Opći dio'!$C$3,'Opći dio'!$L$6:$U$136,9,FALSE))</f>
        <v>Agencije</v>
      </c>
      <c r="C33" s="152">
        <v>11</v>
      </c>
      <c r="D33" s="147" t="str">
        <f t="shared" si="1"/>
        <v>Opći prihodi i primici</v>
      </c>
      <c r="E33" s="152">
        <v>3238</v>
      </c>
      <c r="F33" s="147" t="str">
        <f t="shared" si="2"/>
        <v>Računalne usluge</v>
      </c>
      <c r="G33" s="199" t="s">
        <v>1339</v>
      </c>
      <c r="H33" s="147" t="str">
        <f t="shared" si="3"/>
        <v>ADMINISTRACIJA I UPRAVLJANJE NACIONALNE SVEUČILIŠNE KNJIŽNICE</v>
      </c>
      <c r="I33" s="196">
        <v>660000</v>
      </c>
      <c r="J33" s="196">
        <v>660000</v>
      </c>
      <c r="K33" s="196">
        <v>660000</v>
      </c>
      <c r="M33" s="142" t="str">
        <f t="shared" si="4"/>
        <v>323</v>
      </c>
      <c r="N33" s="142" t="str">
        <f t="shared" si="5"/>
        <v>32</v>
      </c>
      <c r="R33" s="142">
        <v>3292</v>
      </c>
      <c r="S33" s="142" t="s">
        <v>93</v>
      </c>
      <c r="U33" s="142" t="str">
        <f t="shared" si="8"/>
        <v>32</v>
      </c>
      <c r="V33" s="142" t="str">
        <f t="shared" si="9"/>
        <v>329</v>
      </c>
      <c r="X33" t="s">
        <v>1429</v>
      </c>
      <c r="Y33" t="s">
        <v>1430</v>
      </c>
    </row>
    <row r="34" spans="1:25">
      <c r="A34" s="146" t="str">
        <f>IF(C34="","",VLOOKUP('Opći dio'!$C$3,'Opći dio'!$L$6:$U$136,10,FALSE))</f>
        <v>08091</v>
      </c>
      <c r="B34" s="146" t="str">
        <f>IF(C34="","",VLOOKUP('Opći dio'!$C$3,'Opći dio'!$L$6:$U$136,9,FALSE))</f>
        <v>Agencije</v>
      </c>
      <c r="C34" s="152">
        <v>11</v>
      </c>
      <c r="D34" s="147" t="str">
        <f t="shared" si="1"/>
        <v>Opći prihodi i primici</v>
      </c>
      <c r="E34" s="152">
        <v>3239</v>
      </c>
      <c r="F34" s="147" t="str">
        <f t="shared" si="2"/>
        <v>Ostale usluge</v>
      </c>
      <c r="G34" s="199" t="s">
        <v>1339</v>
      </c>
      <c r="H34" s="147" t="str">
        <f t="shared" si="3"/>
        <v>ADMINISTRACIJA I UPRAVLJANJE NACIONALNE SVEUČILIŠNE KNJIŽNICE</v>
      </c>
      <c r="I34" s="196">
        <v>718530</v>
      </c>
      <c r="J34" s="196">
        <v>718530</v>
      </c>
      <c r="K34" s="196">
        <v>718530</v>
      </c>
      <c r="M34" s="142" t="str">
        <f t="shared" si="4"/>
        <v>323</v>
      </c>
      <c r="N34" s="142" t="str">
        <f t="shared" si="5"/>
        <v>32</v>
      </c>
      <c r="R34" s="142">
        <v>3293</v>
      </c>
      <c r="S34" s="142" t="s">
        <v>103</v>
      </c>
      <c r="U34" s="142" t="str">
        <f t="shared" si="8"/>
        <v>32</v>
      </c>
      <c r="V34" s="142" t="str">
        <f t="shared" si="9"/>
        <v>329</v>
      </c>
      <c r="X34" t="s">
        <v>1431</v>
      </c>
      <c r="Y34" t="s">
        <v>1432</v>
      </c>
    </row>
    <row r="35" spans="1:25">
      <c r="A35" s="146" t="str">
        <f>IF(C35="","",VLOOKUP('Opći dio'!$C$3,'Opći dio'!$L$6:$U$136,10,FALSE))</f>
        <v>08091</v>
      </c>
      <c r="B35" s="146" t="str">
        <f>IF(C35="","",VLOOKUP('Opći dio'!$C$3,'Opći dio'!$L$6:$U$136,9,FALSE))</f>
        <v>Agencije</v>
      </c>
      <c r="C35" s="152">
        <v>11</v>
      </c>
      <c r="D35" s="147" t="str">
        <f t="shared" si="1"/>
        <v>Opći prihodi i primici</v>
      </c>
      <c r="E35" s="152">
        <v>3291</v>
      </c>
      <c r="F35" s="147" t="str">
        <f t="shared" si="2"/>
        <v>Naknade za rad predstavničkih i izvršnih tijela, povjerensta</v>
      </c>
      <c r="G35" s="199" t="s">
        <v>1339</v>
      </c>
      <c r="H35" s="147" t="str">
        <f t="shared" si="3"/>
        <v>ADMINISTRACIJA I UPRAVLJANJE NACIONALNE SVEUČILIŠNE KNJIŽNICE</v>
      </c>
      <c r="I35" s="196">
        <v>55200</v>
      </c>
      <c r="J35" s="196">
        <v>55200</v>
      </c>
      <c r="K35" s="196">
        <v>55200</v>
      </c>
      <c r="M35" s="142" t="str">
        <f t="shared" si="4"/>
        <v>329</v>
      </c>
      <c r="N35" s="142" t="str">
        <f t="shared" si="5"/>
        <v>32</v>
      </c>
      <c r="R35" s="142">
        <v>3293</v>
      </c>
      <c r="S35" s="142" t="s">
        <v>151</v>
      </c>
      <c r="U35" s="142" t="str">
        <f t="shared" si="8"/>
        <v>32</v>
      </c>
      <c r="V35" s="142" t="str">
        <f t="shared" si="9"/>
        <v>329</v>
      </c>
      <c r="X35" t="s">
        <v>879</v>
      </c>
      <c r="Y35" t="s">
        <v>880</v>
      </c>
    </row>
    <row r="36" spans="1:25">
      <c r="A36" s="146" t="str">
        <f>IF(C36="","",VLOOKUP('Opći dio'!$C$3,'Opći dio'!$L$6:$U$136,10,FALSE))</f>
        <v>08091</v>
      </c>
      <c r="B36" s="146" t="str">
        <f>IF(C36="","",VLOOKUP('Opći dio'!$C$3,'Opći dio'!$L$6:$U$136,9,FALSE))</f>
        <v>Agencije</v>
      </c>
      <c r="C36" s="152">
        <v>11</v>
      </c>
      <c r="D36" s="147" t="str">
        <f t="shared" si="1"/>
        <v>Opći prihodi i primici</v>
      </c>
      <c r="E36" s="152">
        <v>3292</v>
      </c>
      <c r="F36" s="147" t="str">
        <f t="shared" si="2"/>
        <v>Premije osiguranja</v>
      </c>
      <c r="G36" s="199" t="s">
        <v>1339</v>
      </c>
      <c r="H36" s="147" t="str">
        <f t="shared" si="3"/>
        <v>ADMINISTRACIJA I UPRAVLJANJE NACIONALNE SVEUČILIŠNE KNJIŽNICE</v>
      </c>
      <c r="I36" s="196">
        <f>12296+5763</f>
        <v>18059</v>
      </c>
      <c r="J36" s="196">
        <f>12296+5763</f>
        <v>18059</v>
      </c>
      <c r="K36" s="196">
        <f>12296+5763</f>
        <v>18059</v>
      </c>
      <c r="M36" s="142" t="str">
        <f t="shared" si="4"/>
        <v>329</v>
      </c>
      <c r="N36" s="142" t="str">
        <f t="shared" si="5"/>
        <v>32</v>
      </c>
      <c r="R36" s="142">
        <v>3294</v>
      </c>
      <c r="S36" s="142" t="s">
        <v>104</v>
      </c>
      <c r="U36" s="142" t="str">
        <f t="shared" si="8"/>
        <v>32</v>
      </c>
      <c r="V36" s="142" t="str">
        <f t="shared" si="9"/>
        <v>329</v>
      </c>
      <c r="X36" t="s">
        <v>881</v>
      </c>
      <c r="Y36" t="s">
        <v>882</v>
      </c>
    </row>
    <row r="37" spans="1:25">
      <c r="A37" s="146" t="str">
        <f>IF(C37="","",VLOOKUP('Opći dio'!$C$3,'Opći dio'!$L$6:$U$136,10,FALSE))</f>
        <v>08091</v>
      </c>
      <c r="B37" s="146" t="str">
        <f>IF(C37="","",VLOOKUP('Opći dio'!$C$3,'Opći dio'!$L$6:$U$136,9,FALSE))</f>
        <v>Agencije</v>
      </c>
      <c r="C37" s="152">
        <v>11</v>
      </c>
      <c r="D37" s="147" t="str">
        <f t="shared" si="1"/>
        <v>Opći prihodi i primici</v>
      </c>
      <c r="E37" s="152">
        <v>3294</v>
      </c>
      <c r="F37" s="147" t="str">
        <f t="shared" si="2"/>
        <v>Članarine i norme</v>
      </c>
      <c r="G37" s="199" t="s">
        <v>1339</v>
      </c>
      <c r="H37" s="147" t="str">
        <f t="shared" si="3"/>
        <v>ADMINISTRACIJA I UPRAVLJANJE NACIONALNE SVEUČILIŠNE KNJIŽNICE</v>
      </c>
      <c r="I37" s="196">
        <v>120000</v>
      </c>
      <c r="J37" s="196">
        <v>120000</v>
      </c>
      <c r="K37" s="196">
        <v>120000</v>
      </c>
      <c r="M37" s="142" t="str">
        <f t="shared" si="4"/>
        <v>329</v>
      </c>
      <c r="N37" s="142" t="str">
        <f t="shared" si="5"/>
        <v>32</v>
      </c>
      <c r="R37" s="142">
        <v>3295</v>
      </c>
      <c r="S37" s="142" t="s">
        <v>73</v>
      </c>
      <c r="U37" s="142" t="str">
        <f t="shared" si="8"/>
        <v>32</v>
      </c>
      <c r="V37" s="142" t="str">
        <f t="shared" si="9"/>
        <v>329</v>
      </c>
      <c r="X37" t="s">
        <v>1285</v>
      </c>
      <c r="Y37" t="s">
        <v>1286</v>
      </c>
    </row>
    <row r="38" spans="1:25">
      <c r="A38" s="146" t="str">
        <f>IF(C38="","",VLOOKUP('Opći dio'!$C$3,'Opći dio'!$L$6:$U$136,10,FALSE))</f>
        <v>08091</v>
      </c>
      <c r="B38" s="146" t="str">
        <f>IF(C38="","",VLOOKUP('Opći dio'!$C$3,'Opći dio'!$L$6:$U$136,9,FALSE))</f>
        <v>Agencije</v>
      </c>
      <c r="C38" s="152">
        <v>11</v>
      </c>
      <c r="D38" s="147" t="str">
        <f t="shared" si="1"/>
        <v>Opći prihodi i primici</v>
      </c>
      <c r="E38" s="152">
        <v>3295</v>
      </c>
      <c r="F38" s="147" t="str">
        <f t="shared" si="2"/>
        <v>Pristojbe i naknade</v>
      </c>
      <c r="G38" s="199" t="s">
        <v>1339</v>
      </c>
      <c r="H38" s="147" t="str">
        <f t="shared" si="3"/>
        <v>ADMINISTRACIJA I UPRAVLJANJE NACIONALNE SVEUČILIŠNE KNJIŽNICE</v>
      </c>
      <c r="I38" s="196">
        <v>9837</v>
      </c>
      <c r="J38" s="196">
        <v>9837</v>
      </c>
      <c r="K38" s="196">
        <v>9837</v>
      </c>
      <c r="M38" s="142" t="str">
        <f t="shared" si="4"/>
        <v>329</v>
      </c>
      <c r="N38" s="142" t="str">
        <f t="shared" si="5"/>
        <v>32</v>
      </c>
      <c r="R38" s="142">
        <v>3296</v>
      </c>
      <c r="S38" s="142" t="s">
        <v>168</v>
      </c>
      <c r="U38" s="142" t="str">
        <f t="shared" si="8"/>
        <v>32</v>
      </c>
      <c r="V38" s="142" t="str">
        <f t="shared" si="9"/>
        <v>329</v>
      </c>
      <c r="X38" t="s">
        <v>883</v>
      </c>
      <c r="Y38" t="s">
        <v>884</v>
      </c>
    </row>
    <row r="39" spans="1:25">
      <c r="A39" s="146" t="str">
        <f>IF(C39="","",VLOOKUP('Opći dio'!$C$3,'Opći dio'!$L$6:$U$136,10,FALSE))</f>
        <v>08091</v>
      </c>
      <c r="B39" s="146" t="str">
        <f>IF(C39="","",VLOOKUP('Opći dio'!$C$3,'Opći dio'!$L$6:$U$136,9,FALSE))</f>
        <v>Agencije</v>
      </c>
      <c r="C39" s="152">
        <v>11</v>
      </c>
      <c r="D39" s="147" t="str">
        <f t="shared" si="1"/>
        <v>Opći prihodi i primici</v>
      </c>
      <c r="E39" s="152">
        <v>3299</v>
      </c>
      <c r="F39" s="147" t="str">
        <f t="shared" si="2"/>
        <v>Ostali nespomenuti rashodi poslovanja</v>
      </c>
      <c r="G39" s="199" t="s">
        <v>1339</v>
      </c>
      <c r="H39" s="147" t="str">
        <f t="shared" si="3"/>
        <v>ADMINISTRACIJA I UPRAVLJANJE NACIONALNE SVEUČILIŠNE KNJIŽNICE</v>
      </c>
      <c r="I39" s="196">
        <v>54388</v>
      </c>
      <c r="J39" s="196">
        <v>54388</v>
      </c>
      <c r="K39" s="196">
        <v>54388</v>
      </c>
      <c r="M39" s="142" t="str">
        <f t="shared" si="4"/>
        <v>329</v>
      </c>
      <c r="N39" s="142" t="str">
        <f t="shared" si="5"/>
        <v>32</v>
      </c>
      <c r="R39" s="142">
        <v>3299</v>
      </c>
      <c r="S39" s="142" t="s">
        <v>76</v>
      </c>
      <c r="U39" s="142" t="str">
        <f t="shared" si="8"/>
        <v>32</v>
      </c>
      <c r="V39" s="142" t="str">
        <f t="shared" si="9"/>
        <v>329</v>
      </c>
      <c r="X39" t="s">
        <v>871</v>
      </c>
      <c r="Y39" t="s">
        <v>872</v>
      </c>
    </row>
    <row r="40" spans="1:25">
      <c r="A40" s="146" t="str">
        <f>IF(C40="","",VLOOKUP('Opći dio'!$C$3,'Opći dio'!$L$6:$U$136,10,FALSE))</f>
        <v>08091</v>
      </c>
      <c r="B40" s="146" t="str">
        <f>IF(C40="","",VLOOKUP('Opći dio'!$C$3,'Opći dio'!$L$6:$U$136,9,FALSE))</f>
        <v>Agencije</v>
      </c>
      <c r="C40" s="152">
        <v>11</v>
      </c>
      <c r="D40" s="147" t="str">
        <f t="shared" si="1"/>
        <v>Opći prihodi i primici</v>
      </c>
      <c r="E40" s="152">
        <v>3431</v>
      </c>
      <c r="F40" s="147" t="str">
        <f t="shared" si="2"/>
        <v>Bankarske usluge i usluge platnog prometa</v>
      </c>
      <c r="G40" s="199" t="s">
        <v>1339</v>
      </c>
      <c r="H40" s="147" t="str">
        <f t="shared" si="3"/>
        <v>ADMINISTRACIJA I UPRAVLJANJE NACIONALNE SVEUČILIŠNE KNJIŽNICE</v>
      </c>
      <c r="I40" s="196">
        <f>100000-25000</f>
        <v>75000</v>
      </c>
      <c r="J40" s="196">
        <f>100000-25000</f>
        <v>75000</v>
      </c>
      <c r="K40" s="196">
        <f>100000-25000</f>
        <v>75000</v>
      </c>
      <c r="M40" s="142" t="str">
        <f t="shared" si="4"/>
        <v>343</v>
      </c>
      <c r="N40" s="142" t="str">
        <f t="shared" si="5"/>
        <v>34</v>
      </c>
      <c r="R40" s="142">
        <v>3411</v>
      </c>
      <c r="S40" s="142" t="s">
        <v>206</v>
      </c>
      <c r="U40" s="142" t="str">
        <f t="shared" si="8"/>
        <v>34</v>
      </c>
      <c r="V40" s="142" t="str">
        <f t="shared" si="9"/>
        <v>341</v>
      </c>
      <c r="X40" t="s">
        <v>1339</v>
      </c>
      <c r="Y40" t="s">
        <v>1340</v>
      </c>
    </row>
    <row r="41" spans="1:25">
      <c r="A41" s="146" t="str">
        <f>IF(C41="","",VLOOKUP('Opći dio'!$C$3,'Opći dio'!$L$6:$U$136,10,FALSE))</f>
        <v>08091</v>
      </c>
      <c r="B41" s="146" t="str">
        <f>IF(C41="","",VLOOKUP('Opći dio'!$C$3,'Opći dio'!$L$6:$U$136,9,FALSE))</f>
        <v>Agencije</v>
      </c>
      <c r="C41" s="152">
        <v>11</v>
      </c>
      <c r="D41" s="147" t="str">
        <f t="shared" si="1"/>
        <v>Opći prihodi i primici</v>
      </c>
      <c r="E41" s="152">
        <v>3432</v>
      </c>
      <c r="F41" s="147" t="str">
        <f t="shared" si="2"/>
        <v>Negativne tečajne razlike i razlike zbog primjene valutne kl</v>
      </c>
      <c r="G41" s="199" t="s">
        <v>1339</v>
      </c>
      <c r="H41" s="147" t="str">
        <f t="shared" si="3"/>
        <v>ADMINISTRACIJA I UPRAVLJANJE NACIONALNE SVEUČILIŠNE KNJIŽNICE</v>
      </c>
      <c r="I41" s="196">
        <f>150000-25000</f>
        <v>125000</v>
      </c>
      <c r="J41" s="196">
        <f>150000-25000</f>
        <v>125000</v>
      </c>
      <c r="K41" s="196">
        <f>150000-25000</f>
        <v>125000</v>
      </c>
      <c r="M41" s="142" t="str">
        <f t="shared" si="4"/>
        <v>343</v>
      </c>
      <c r="N41" s="142" t="str">
        <f t="shared" si="5"/>
        <v>34</v>
      </c>
      <c r="R41" s="142">
        <v>3422</v>
      </c>
      <c r="S41" s="142" t="s">
        <v>169</v>
      </c>
      <c r="U41" s="142" t="str">
        <f t="shared" si="8"/>
        <v>34</v>
      </c>
      <c r="V41" s="142" t="str">
        <f t="shared" si="9"/>
        <v>342</v>
      </c>
      <c r="X41" t="s">
        <v>1383</v>
      </c>
      <c r="Y41" t="s">
        <v>1384</v>
      </c>
    </row>
    <row r="42" spans="1:25">
      <c r="A42" s="146" t="str">
        <f>IF(C42="","",VLOOKUP('Opći dio'!$C$3,'Opći dio'!$L$6:$U$136,10,FALSE))</f>
        <v>08091</v>
      </c>
      <c r="B42" s="146" t="str">
        <f>IF(C42="","",VLOOKUP('Opći dio'!$C$3,'Opći dio'!$L$6:$U$136,9,FALSE))</f>
        <v>Agencije</v>
      </c>
      <c r="C42" s="152">
        <v>11</v>
      </c>
      <c r="D42" s="147" t="str">
        <f t="shared" si="1"/>
        <v>Opći prihodi i primici</v>
      </c>
      <c r="E42" s="152">
        <v>3433</v>
      </c>
      <c r="F42" s="147" t="str">
        <f t="shared" si="2"/>
        <v>Zatezne kamate</v>
      </c>
      <c r="G42" s="199" t="s">
        <v>1339</v>
      </c>
      <c r="H42" s="147" t="str">
        <f t="shared" si="3"/>
        <v>ADMINISTRACIJA I UPRAVLJANJE NACIONALNE SVEUČILIŠNE KNJIŽNICE</v>
      </c>
      <c r="I42" s="196">
        <v>80000</v>
      </c>
      <c r="J42" s="196">
        <v>80000</v>
      </c>
      <c r="K42" s="196">
        <v>80000</v>
      </c>
      <c r="M42" s="142" t="str">
        <f t="shared" si="4"/>
        <v>343</v>
      </c>
      <c r="N42" s="142" t="str">
        <f t="shared" si="5"/>
        <v>34</v>
      </c>
      <c r="R42" s="142">
        <v>3423</v>
      </c>
      <c r="S42" s="142" t="s">
        <v>169</v>
      </c>
      <c r="U42" s="142" t="str">
        <f t="shared" ref="U42:U73" si="10">LEFT(R42,2)</f>
        <v>34</v>
      </c>
      <c r="V42" s="142" t="str">
        <f t="shared" ref="V42:V73" si="11">LEFT(R42,3)</f>
        <v>342</v>
      </c>
      <c r="X42" t="s">
        <v>1287</v>
      </c>
      <c r="Y42" t="s">
        <v>1260</v>
      </c>
    </row>
    <row r="43" spans="1:25">
      <c r="A43" s="146" t="str">
        <f>IF(C43="","",VLOOKUP('Opći dio'!$C$3,'Opći dio'!$L$6:$U$136,10,FALSE))</f>
        <v>08091</v>
      </c>
      <c r="B43" s="146" t="str">
        <f>IF(C43="","",VLOOKUP('Opći dio'!$C$3,'Opći dio'!$L$6:$U$136,9,FALSE))</f>
        <v>Agencije</v>
      </c>
      <c r="C43" s="152">
        <v>11</v>
      </c>
      <c r="D43" s="147" t="str">
        <f t="shared" si="1"/>
        <v>Opći prihodi i primici</v>
      </c>
      <c r="E43" s="152">
        <v>3434</v>
      </c>
      <c r="F43" s="147" t="str">
        <f t="shared" si="2"/>
        <v>Ostali nespomenuti financijski rashodi</v>
      </c>
      <c r="G43" s="199" t="s">
        <v>1339</v>
      </c>
      <c r="H43" s="147" t="str">
        <f t="shared" si="3"/>
        <v>ADMINISTRACIJA I UPRAVLJANJE NACIONALNE SVEUČILIŠNE KNJIŽNICE</v>
      </c>
      <c r="I43" s="196">
        <v>9000</v>
      </c>
      <c r="J43" s="196">
        <v>9000</v>
      </c>
      <c r="K43" s="196">
        <v>9000</v>
      </c>
      <c r="M43" s="142" t="str">
        <f t="shared" si="4"/>
        <v>343</v>
      </c>
      <c r="N43" s="142" t="str">
        <f t="shared" si="5"/>
        <v>34</v>
      </c>
      <c r="R43" s="142">
        <v>3427</v>
      </c>
      <c r="S43" s="142" t="s">
        <v>208</v>
      </c>
      <c r="U43" s="142" t="str">
        <f t="shared" si="10"/>
        <v>34</v>
      </c>
      <c r="V43" s="142" t="str">
        <f t="shared" si="11"/>
        <v>342</v>
      </c>
      <c r="X43" t="s">
        <v>863</v>
      </c>
      <c r="Y43" t="s">
        <v>864</v>
      </c>
    </row>
    <row r="44" spans="1:25">
      <c r="A44" s="146" t="str">
        <f>IF(C44="","",VLOOKUP('Opći dio'!$C$3,'Opći dio'!$L$6:$U$136,10,FALSE))</f>
        <v>08091</v>
      </c>
      <c r="B44" s="146" t="str">
        <f>IF(C44="","",VLOOKUP('Opći dio'!$C$3,'Opći dio'!$L$6:$U$136,9,FALSE))</f>
        <v>Agencije</v>
      </c>
      <c r="C44" s="152">
        <v>11</v>
      </c>
      <c r="D44" s="147" t="str">
        <f t="shared" si="1"/>
        <v>Opći prihodi i primici</v>
      </c>
      <c r="E44" s="152">
        <v>3721</v>
      </c>
      <c r="F44" s="147" t="str">
        <f t="shared" si="2"/>
        <v>Naknade građanima i kućanstvima u novcu</v>
      </c>
      <c r="G44" s="199" t="s">
        <v>1339</v>
      </c>
      <c r="H44" s="147" t="str">
        <f t="shared" si="3"/>
        <v>ADMINISTRACIJA I UPRAVLJANJE NACIONALNE SVEUČILIŠNE KNJIŽNICE</v>
      </c>
      <c r="I44" s="196">
        <v>82000</v>
      </c>
      <c r="J44" s="196">
        <v>82000</v>
      </c>
      <c r="K44" s="196">
        <v>82000</v>
      </c>
      <c r="M44" s="142" t="str">
        <f t="shared" si="4"/>
        <v>372</v>
      </c>
      <c r="N44" s="142" t="str">
        <f t="shared" si="5"/>
        <v>37</v>
      </c>
      <c r="R44" s="142">
        <v>3431</v>
      </c>
      <c r="S44" s="142" t="s">
        <v>101</v>
      </c>
      <c r="U44" s="142" t="str">
        <f t="shared" si="10"/>
        <v>34</v>
      </c>
      <c r="V44" s="142" t="str">
        <f t="shared" si="11"/>
        <v>343</v>
      </c>
      <c r="X44" t="s">
        <v>885</v>
      </c>
      <c r="Y44" t="s">
        <v>1288</v>
      </c>
    </row>
    <row r="45" spans="1:25">
      <c r="A45" s="146" t="str">
        <f>IF(C45="","",VLOOKUP('Opći dio'!$C$3,'Opći dio'!$L$6:$U$136,10,FALSE))</f>
        <v>08091</v>
      </c>
      <c r="B45" s="146" t="str">
        <f>IF(C45="","",VLOOKUP('Opći dio'!$C$3,'Opći dio'!$L$6:$U$136,9,FALSE))</f>
        <v>Agencije</v>
      </c>
      <c r="C45" s="152">
        <v>11</v>
      </c>
      <c r="D45" s="147" t="str">
        <f t="shared" si="1"/>
        <v>Opći prihodi i primici</v>
      </c>
      <c r="E45" s="152">
        <v>3831</v>
      </c>
      <c r="F45" s="147" t="str">
        <f t="shared" si="2"/>
        <v>Naknade šteta pravnim i fizičkim osobama</v>
      </c>
      <c r="G45" s="199" t="s">
        <v>1339</v>
      </c>
      <c r="H45" s="147" t="str">
        <f t="shared" si="3"/>
        <v>ADMINISTRACIJA I UPRAVLJANJE NACIONALNE SVEUČILIŠNE KNJIŽNICE</v>
      </c>
      <c r="I45" s="196">
        <v>25510</v>
      </c>
      <c r="J45" s="196">
        <v>25510</v>
      </c>
      <c r="K45" s="196">
        <v>25510</v>
      </c>
      <c r="M45" s="142" t="str">
        <f t="shared" si="4"/>
        <v>383</v>
      </c>
      <c r="N45" s="142" t="str">
        <f t="shared" si="5"/>
        <v>38</v>
      </c>
      <c r="R45" s="142">
        <v>3432</v>
      </c>
      <c r="S45" s="142" t="s">
        <v>117</v>
      </c>
      <c r="U45" s="142" t="str">
        <f t="shared" si="10"/>
        <v>34</v>
      </c>
      <c r="V45" s="142" t="str">
        <f t="shared" si="11"/>
        <v>343</v>
      </c>
      <c r="X45" t="s">
        <v>1341</v>
      </c>
      <c r="Y45" t="s">
        <v>1342</v>
      </c>
    </row>
    <row r="46" spans="1:25">
      <c r="A46" s="146" t="str">
        <f>IF(C46="","",VLOOKUP('Opći dio'!$C$3,'Opći dio'!$L$6:$U$136,10,FALSE))</f>
        <v>08091</v>
      </c>
      <c r="B46" s="146" t="str">
        <f>IF(C46="","",VLOOKUP('Opći dio'!$C$3,'Opći dio'!$L$6:$U$136,9,FALSE))</f>
        <v>Agencije</v>
      </c>
      <c r="C46" s="152">
        <v>11</v>
      </c>
      <c r="D46" s="147" t="str">
        <f t="shared" si="1"/>
        <v>Opći prihodi i primici</v>
      </c>
      <c r="E46" s="152">
        <v>4221</v>
      </c>
      <c r="F46" s="147" t="str">
        <f t="shared" si="2"/>
        <v>Uredska oprema i namještaj</v>
      </c>
      <c r="G46" s="199" t="s">
        <v>1339</v>
      </c>
      <c r="H46" s="147" t="str">
        <f t="shared" si="3"/>
        <v>ADMINISTRACIJA I UPRAVLJANJE NACIONALNE SVEUČILIŠNE KNJIŽNICE</v>
      </c>
      <c r="I46" s="196">
        <v>3954402</v>
      </c>
      <c r="J46" s="196"/>
      <c r="K46" s="196"/>
      <c r="M46" s="142" t="str">
        <f t="shared" si="4"/>
        <v>422</v>
      </c>
      <c r="N46" s="142" t="str">
        <f t="shared" si="5"/>
        <v>42</v>
      </c>
      <c r="R46" s="142">
        <v>3433</v>
      </c>
      <c r="S46" s="142" t="s">
        <v>156</v>
      </c>
      <c r="U46" s="142" t="str">
        <f t="shared" si="10"/>
        <v>34</v>
      </c>
      <c r="V46" s="142" t="str">
        <f t="shared" si="11"/>
        <v>343</v>
      </c>
      <c r="X46" t="s">
        <v>886</v>
      </c>
      <c r="Y46" t="s">
        <v>1289</v>
      </c>
    </row>
    <row r="47" spans="1:25">
      <c r="A47" s="146" t="str">
        <f>IF(C47="","",VLOOKUP('Opći dio'!$C$3,'Opći dio'!$L$6:$U$136,10,FALSE))</f>
        <v>08091</v>
      </c>
      <c r="B47" s="146" t="str">
        <f>IF(C47="","",VLOOKUP('Opći dio'!$C$3,'Opći dio'!$L$6:$U$136,9,FALSE))</f>
        <v>Agencije</v>
      </c>
      <c r="C47" s="152">
        <v>11</v>
      </c>
      <c r="D47" s="147" t="str">
        <f t="shared" si="1"/>
        <v>Opći prihodi i primici</v>
      </c>
      <c r="E47" s="152">
        <v>4511</v>
      </c>
      <c r="F47" s="147" t="str">
        <f t="shared" si="2"/>
        <v>Dodatna ulaganja na građevinskim objektima</v>
      </c>
      <c r="G47" s="199" t="s">
        <v>1339</v>
      </c>
      <c r="H47" s="147" t="str">
        <f t="shared" si="3"/>
        <v>ADMINISTRACIJA I UPRAVLJANJE NACIONALNE SVEUČILIŠNE KNJIŽNICE</v>
      </c>
      <c r="I47" s="196">
        <v>24442386</v>
      </c>
      <c r="J47" s="196"/>
      <c r="K47" s="196"/>
      <c r="M47" s="142" t="str">
        <f t="shared" si="4"/>
        <v>451</v>
      </c>
      <c r="N47" s="142" t="str">
        <f t="shared" si="5"/>
        <v>45</v>
      </c>
      <c r="R47" s="142">
        <v>3434</v>
      </c>
      <c r="S47" s="142" t="s">
        <v>86</v>
      </c>
      <c r="U47" s="142" t="str">
        <f t="shared" si="10"/>
        <v>34</v>
      </c>
      <c r="V47" s="142" t="str">
        <f t="shared" si="11"/>
        <v>343</v>
      </c>
      <c r="X47" t="s">
        <v>1343</v>
      </c>
      <c r="Y47" t="s">
        <v>1344</v>
      </c>
    </row>
    <row r="48" spans="1:25">
      <c r="A48" s="146" t="str">
        <f>IF(C48="","",VLOOKUP('Opći dio'!$C$3,'Opći dio'!$L$6:$U$136,10,FALSE))</f>
        <v>08091</v>
      </c>
      <c r="B48" s="146" t="str">
        <f>IF(C48="","",VLOOKUP('Opći dio'!$C$3,'Opći dio'!$L$6:$U$136,9,FALSE))</f>
        <v>Agencije</v>
      </c>
      <c r="C48" s="152">
        <v>11</v>
      </c>
      <c r="D48" s="147" t="str">
        <f t="shared" si="1"/>
        <v>Opći prihodi i primici</v>
      </c>
      <c r="E48" s="152">
        <v>4241</v>
      </c>
      <c r="F48" s="147" t="str">
        <f t="shared" si="2"/>
        <v>Knjige</v>
      </c>
      <c r="G48" s="199" t="s">
        <v>1345</v>
      </c>
      <c r="H48" s="147" t="str">
        <f t="shared" si="3"/>
        <v>KNJIGE, UMJETNIČKA DJELA I OSTALE IZLOŽBENE VRIJEDNOSTI</v>
      </c>
      <c r="I48" s="196">
        <v>136326</v>
      </c>
      <c r="J48" s="196">
        <v>136326</v>
      </c>
      <c r="K48" s="196">
        <v>136326</v>
      </c>
      <c r="M48" s="142" t="str">
        <f t="shared" si="4"/>
        <v>424</v>
      </c>
      <c r="N48" s="142" t="str">
        <f t="shared" si="5"/>
        <v>42</v>
      </c>
      <c r="R48" s="142">
        <v>3511</v>
      </c>
      <c r="S48" s="142" t="s">
        <v>199</v>
      </c>
      <c r="U48" s="142" t="str">
        <f t="shared" si="10"/>
        <v>35</v>
      </c>
      <c r="V48" s="142" t="str">
        <f t="shared" si="11"/>
        <v>351</v>
      </c>
      <c r="X48" t="s">
        <v>1385</v>
      </c>
      <c r="Y48" t="s">
        <v>1386</v>
      </c>
    </row>
    <row r="49" spans="1:25">
      <c r="A49" s="146" t="str">
        <f>IF(C49="","",VLOOKUP('Opći dio'!$C$3,'Opći dio'!$L$6:$U$136,10,FALSE))</f>
        <v>08091</v>
      </c>
      <c r="B49" s="146" t="str">
        <f>IF(C49="","",VLOOKUP('Opći dio'!$C$3,'Opći dio'!$L$6:$U$136,9,FALSE))</f>
        <v>Agencije</v>
      </c>
      <c r="C49" s="152">
        <v>11</v>
      </c>
      <c r="D49" s="147" t="str">
        <f t="shared" si="1"/>
        <v>Opći prihodi i primici</v>
      </c>
      <c r="E49" s="152">
        <v>4242</v>
      </c>
      <c r="F49" s="147" t="str">
        <f t="shared" si="2"/>
        <v>Umjetnička djela (izložena u galerijama, muzejima i slično)</v>
      </c>
      <c r="G49" s="199" t="s">
        <v>1345</v>
      </c>
      <c r="H49" s="147" t="str">
        <f t="shared" si="3"/>
        <v>KNJIGE, UMJETNIČKA DJELA I OSTALE IZLOŽBENE VRIJEDNOSTI</v>
      </c>
      <c r="I49" s="196">
        <v>40000</v>
      </c>
      <c r="J49" s="196">
        <v>40000</v>
      </c>
      <c r="K49" s="196">
        <v>40000</v>
      </c>
      <c r="M49" s="142" t="str">
        <f t="shared" si="4"/>
        <v>424</v>
      </c>
      <c r="N49" s="142" t="str">
        <f t="shared" si="5"/>
        <v>42</v>
      </c>
      <c r="R49" s="142">
        <v>3512</v>
      </c>
      <c r="S49" s="142" t="s">
        <v>201</v>
      </c>
      <c r="U49" s="142" t="str">
        <f t="shared" si="10"/>
        <v>35</v>
      </c>
      <c r="V49" s="142" t="str">
        <f t="shared" si="11"/>
        <v>351</v>
      </c>
      <c r="X49" t="s">
        <v>887</v>
      </c>
      <c r="Y49" t="s">
        <v>888</v>
      </c>
    </row>
    <row r="50" spans="1:25">
      <c r="A50" s="146" t="str">
        <f>IF(C50="","",VLOOKUP('Opći dio'!$C$3,'Opći dio'!$L$6:$U$136,10,FALSE))</f>
        <v>08091</v>
      </c>
      <c r="B50" s="146" t="str">
        <f>IF(C50="","",VLOOKUP('Opći dio'!$C$3,'Opći dio'!$L$6:$U$136,9,FALSE))</f>
        <v>Agencije</v>
      </c>
      <c r="C50" s="152">
        <v>11</v>
      </c>
      <c r="D50" s="147" t="str">
        <f t="shared" si="1"/>
        <v>Opći prihodi i primici</v>
      </c>
      <c r="E50" s="152">
        <v>4244</v>
      </c>
      <c r="F50" s="147" t="str">
        <f t="shared" si="2"/>
        <v>Ostale nespomenute izložbene vrijednosti</v>
      </c>
      <c r="G50" s="199" t="s">
        <v>1345</v>
      </c>
      <c r="H50" s="147" t="str">
        <f t="shared" si="3"/>
        <v>KNJIGE, UMJETNIČKA DJELA I OSTALE IZLOŽBENE VRIJEDNOSTI</v>
      </c>
      <c r="I50" s="196">
        <v>20000</v>
      </c>
      <c r="J50" s="196">
        <v>20000</v>
      </c>
      <c r="K50" s="196">
        <v>20000</v>
      </c>
      <c r="M50" s="142" t="str">
        <f t="shared" si="4"/>
        <v>424</v>
      </c>
      <c r="N50" s="142" t="str">
        <f t="shared" si="5"/>
        <v>42</v>
      </c>
      <c r="R50" s="142">
        <v>3522</v>
      </c>
      <c r="S50" s="142" t="s">
        <v>287</v>
      </c>
      <c r="U50" s="142" t="str">
        <f t="shared" si="10"/>
        <v>35</v>
      </c>
      <c r="V50" s="142" t="str">
        <f t="shared" si="11"/>
        <v>352</v>
      </c>
      <c r="X50" t="s">
        <v>1351</v>
      </c>
      <c r="Y50" t="s">
        <v>1352</v>
      </c>
    </row>
    <row r="51" spans="1:25">
      <c r="A51" s="146" t="str">
        <f>IF(C51="","",VLOOKUP('Opći dio'!$C$3,'Opći dio'!$L$6:$U$136,10,FALSE))</f>
        <v>08091</v>
      </c>
      <c r="B51" s="146" t="str">
        <f>IF(C51="","",VLOOKUP('Opći dio'!$C$3,'Opći dio'!$L$6:$U$136,9,FALSE))</f>
        <v>Agencije</v>
      </c>
      <c r="C51" s="152">
        <v>11</v>
      </c>
      <c r="D51" s="147" t="str">
        <f t="shared" si="1"/>
        <v>Opći prihodi i primici</v>
      </c>
      <c r="E51" s="152">
        <v>4244</v>
      </c>
      <c r="F51" s="147" t="str">
        <f t="shared" si="2"/>
        <v>Ostale nespomenute izložbene vrijednosti</v>
      </c>
      <c r="G51" s="199" t="s">
        <v>1345</v>
      </c>
      <c r="H51" s="147" t="str">
        <f t="shared" si="3"/>
        <v>KNJIGE, UMJETNIČKA DJELA I OSTALE IZLOŽBENE VRIJEDNOSTI</v>
      </c>
      <c r="I51" s="196">
        <v>21837</v>
      </c>
      <c r="J51" s="196">
        <v>21837</v>
      </c>
      <c r="K51" s="196">
        <v>21837</v>
      </c>
      <c r="M51" s="142" t="str">
        <f t="shared" si="4"/>
        <v>424</v>
      </c>
      <c r="N51" s="142" t="str">
        <f t="shared" si="5"/>
        <v>42</v>
      </c>
      <c r="R51" s="142">
        <v>3531</v>
      </c>
      <c r="S51" s="142" t="s">
        <v>153</v>
      </c>
      <c r="U51" s="142" t="str">
        <f t="shared" si="10"/>
        <v>35</v>
      </c>
      <c r="V51" s="142" t="str">
        <f t="shared" si="11"/>
        <v>353</v>
      </c>
      <c r="X51" t="s">
        <v>1353</v>
      </c>
      <c r="Y51" t="s">
        <v>1354</v>
      </c>
    </row>
    <row r="52" spans="1:25">
      <c r="A52" s="146" t="str">
        <f>IF(C52="","",VLOOKUP('Opći dio'!$C$3,'Opći dio'!$L$6:$U$136,10,FALSE))</f>
        <v>08091</v>
      </c>
      <c r="B52" s="146" t="str">
        <f>IF(C52="","",VLOOKUP('Opći dio'!$C$3,'Opći dio'!$L$6:$U$136,9,FALSE))</f>
        <v>Agencije</v>
      </c>
      <c r="C52" s="152">
        <v>31</v>
      </c>
      <c r="D52" s="147" t="str">
        <f t="shared" si="1"/>
        <v>Vlastiti prihodi</v>
      </c>
      <c r="E52" s="152">
        <v>4241</v>
      </c>
      <c r="F52" s="147" t="str">
        <f t="shared" si="2"/>
        <v>Knjige</v>
      </c>
      <c r="G52" s="199" t="s">
        <v>1343</v>
      </c>
      <c r="H52" s="147" t="str">
        <f t="shared" si="3"/>
        <v>ADMINISTRACIJA I UPRAVLJANJE NACIONALNE SVEUČILIŠNE KNJIŽNICE - OSTALI IZVORI FINANCIRANJA</v>
      </c>
      <c r="I52" s="196">
        <v>50000</v>
      </c>
      <c r="J52" s="196">
        <v>50000</v>
      </c>
      <c r="K52" s="196">
        <v>50000</v>
      </c>
      <c r="M52" s="142" t="str">
        <f t="shared" si="4"/>
        <v>424</v>
      </c>
      <c r="N52" s="142" t="str">
        <f t="shared" si="5"/>
        <v>42</v>
      </c>
      <c r="R52" s="142">
        <v>3611</v>
      </c>
      <c r="S52" s="142" t="s">
        <v>106</v>
      </c>
      <c r="U52" s="142" t="str">
        <f t="shared" si="10"/>
        <v>36</v>
      </c>
      <c r="V52" s="142" t="str">
        <f t="shared" si="11"/>
        <v>361</v>
      </c>
      <c r="X52" t="s">
        <v>1355</v>
      </c>
      <c r="Y52" t="s">
        <v>1356</v>
      </c>
    </row>
    <row r="53" spans="1:25">
      <c r="A53" s="146" t="str">
        <f>IF(C53="","",VLOOKUP('Opći dio'!$C$3,'Opći dio'!$L$6:$U$136,10,FALSE))</f>
        <v>08091</v>
      </c>
      <c r="B53" s="146" t="str">
        <f>IF(C53="","",VLOOKUP('Opći dio'!$C$3,'Opći dio'!$L$6:$U$136,9,FALSE))</f>
        <v>Agencije</v>
      </c>
      <c r="C53" s="152">
        <v>31</v>
      </c>
      <c r="D53" s="147" t="str">
        <f t="shared" si="1"/>
        <v>Vlastiti prihodi</v>
      </c>
      <c r="E53" s="152">
        <v>4242</v>
      </c>
      <c r="F53" s="147" t="str">
        <f t="shared" si="2"/>
        <v>Umjetnička djela (izložena u galerijama, muzejima i slično)</v>
      </c>
      <c r="G53" s="199" t="s">
        <v>1343</v>
      </c>
      <c r="H53" s="147" t="str">
        <f t="shared" si="3"/>
        <v>ADMINISTRACIJA I UPRAVLJANJE NACIONALNE SVEUČILIŠNE KNJIŽNICE - OSTALI IZVORI FINANCIRANJA</v>
      </c>
      <c r="I53" s="196">
        <v>20000</v>
      </c>
      <c r="J53" s="196">
        <v>20000</v>
      </c>
      <c r="K53" s="196">
        <v>20000</v>
      </c>
      <c r="M53" s="142" t="str">
        <f t="shared" si="4"/>
        <v>424</v>
      </c>
      <c r="N53" s="142" t="str">
        <f t="shared" si="5"/>
        <v>42</v>
      </c>
      <c r="R53" s="142">
        <v>3621</v>
      </c>
      <c r="S53" s="142" t="s">
        <v>157</v>
      </c>
      <c r="U53" s="142" t="str">
        <f t="shared" si="10"/>
        <v>36</v>
      </c>
      <c r="V53" s="142" t="str">
        <f t="shared" si="11"/>
        <v>362</v>
      </c>
      <c r="X53" t="s">
        <v>1389</v>
      </c>
      <c r="Y53" t="s">
        <v>1390</v>
      </c>
    </row>
    <row r="54" spans="1:25">
      <c r="A54" s="146" t="str">
        <f>IF(C54="","",VLOOKUP('Opći dio'!$C$3,'Opći dio'!$L$6:$U$136,10,FALSE))</f>
        <v>08091</v>
      </c>
      <c r="B54" s="146" t="str">
        <f>IF(C54="","",VLOOKUP('Opći dio'!$C$3,'Opći dio'!$L$6:$U$136,9,FALSE))</f>
        <v>Agencije</v>
      </c>
      <c r="C54" s="152">
        <v>31</v>
      </c>
      <c r="D54" s="147" t="str">
        <f t="shared" si="1"/>
        <v>Vlastiti prihodi</v>
      </c>
      <c r="E54" s="152">
        <v>4244</v>
      </c>
      <c r="F54" s="147" t="str">
        <f t="shared" si="2"/>
        <v>Ostale nespomenute izložbene vrijednosti</v>
      </c>
      <c r="G54" s="199" t="s">
        <v>1343</v>
      </c>
      <c r="H54" s="147" t="str">
        <f t="shared" si="3"/>
        <v>ADMINISTRACIJA I UPRAVLJANJE NACIONALNE SVEUČILIŠNE KNJIŽNICE - OSTALI IZVORI FINANCIRANJA</v>
      </c>
      <c r="I54" s="196">
        <v>10000</v>
      </c>
      <c r="J54" s="196">
        <v>10000</v>
      </c>
      <c r="K54" s="196">
        <v>10000</v>
      </c>
      <c r="M54" s="142" t="str">
        <f t="shared" si="4"/>
        <v>424</v>
      </c>
      <c r="N54" s="142" t="str">
        <f t="shared" si="5"/>
        <v>42</v>
      </c>
      <c r="R54" s="142">
        <v>3631</v>
      </c>
      <c r="S54" s="142" t="s">
        <v>198</v>
      </c>
      <c r="U54" s="142" t="str">
        <f t="shared" si="10"/>
        <v>36</v>
      </c>
      <c r="V54" s="142" t="str">
        <f t="shared" si="11"/>
        <v>363</v>
      </c>
      <c r="X54" t="s">
        <v>1357</v>
      </c>
      <c r="Y54" t="s">
        <v>1358</v>
      </c>
    </row>
    <row r="55" spans="1:25">
      <c r="A55" s="146" t="str">
        <f>IF(C55="","",VLOOKUP('Opći dio'!$C$3,'Opći dio'!$L$6:$U$136,10,FALSE))</f>
        <v>08091</v>
      </c>
      <c r="B55" s="146" t="str">
        <f>IF(C55="","",VLOOKUP('Opći dio'!$C$3,'Opći dio'!$L$6:$U$136,9,FALSE))</f>
        <v>Agencije</v>
      </c>
      <c r="C55" s="152">
        <v>31</v>
      </c>
      <c r="D55" s="147" t="str">
        <f t="shared" si="1"/>
        <v>Vlastiti prihodi</v>
      </c>
      <c r="E55" s="152">
        <v>4244</v>
      </c>
      <c r="F55" s="147" t="str">
        <f t="shared" si="2"/>
        <v>Ostale nespomenute izložbene vrijednosti</v>
      </c>
      <c r="G55" s="199" t="s">
        <v>1343</v>
      </c>
      <c r="H55" s="147" t="str">
        <f t="shared" si="3"/>
        <v>ADMINISTRACIJA I UPRAVLJANJE NACIONALNE SVEUČILIŠNE KNJIŽNICE - OSTALI IZVORI FINANCIRANJA</v>
      </c>
      <c r="I55" s="196">
        <v>20000</v>
      </c>
      <c r="J55" s="196">
        <v>20000</v>
      </c>
      <c r="K55" s="196">
        <v>20000</v>
      </c>
      <c r="M55" s="142" t="str">
        <f t="shared" si="4"/>
        <v>424</v>
      </c>
      <c r="N55" s="142" t="str">
        <f t="shared" si="5"/>
        <v>42</v>
      </c>
      <c r="R55" s="142">
        <v>3632</v>
      </c>
      <c r="S55" s="142" t="s">
        <v>288</v>
      </c>
      <c r="U55" s="142" t="str">
        <f t="shared" si="10"/>
        <v>36</v>
      </c>
      <c r="V55" s="142" t="str">
        <f t="shared" si="11"/>
        <v>363</v>
      </c>
      <c r="X55" t="s">
        <v>1359</v>
      </c>
      <c r="Y55" t="s">
        <v>1360</v>
      </c>
    </row>
    <row r="56" spans="1:25">
      <c r="A56" s="146" t="str">
        <f>IF(C56="","",VLOOKUP('Opći dio'!$C$3,'Opći dio'!$L$6:$U$136,10,FALSE))</f>
        <v>08091</v>
      </c>
      <c r="B56" s="146" t="str">
        <f>IF(C56="","",VLOOKUP('Opći dio'!$C$3,'Opći dio'!$L$6:$U$136,9,FALSE))</f>
        <v>Agencije</v>
      </c>
      <c r="C56" s="152">
        <v>31</v>
      </c>
      <c r="D56" s="147" t="str">
        <f t="shared" si="1"/>
        <v>Vlastiti prihodi</v>
      </c>
      <c r="E56" s="152">
        <v>3111</v>
      </c>
      <c r="F56" s="147" t="str">
        <f t="shared" si="2"/>
        <v>Plaće za redovan rad</v>
      </c>
      <c r="G56" s="199" t="s">
        <v>1343</v>
      </c>
      <c r="H56" s="147" t="str">
        <f t="shared" si="3"/>
        <v>ADMINISTRACIJA I UPRAVLJANJE NACIONALNE SVEUČILIŠNE KNJIŽNICE - OSTALI IZVORI FINANCIRANJA</v>
      </c>
      <c r="I56" s="196">
        <v>230000</v>
      </c>
      <c r="J56" s="196">
        <v>230000</v>
      </c>
      <c r="K56" s="196">
        <v>230000</v>
      </c>
      <c r="M56" s="142" t="str">
        <f t="shared" si="4"/>
        <v>311</v>
      </c>
      <c r="N56" s="142" t="str">
        <f t="shared" si="5"/>
        <v>31</v>
      </c>
      <c r="R56" s="142">
        <v>3661</v>
      </c>
      <c r="S56" s="142" t="s">
        <v>118</v>
      </c>
      <c r="U56" s="142" t="str">
        <f t="shared" si="10"/>
        <v>36</v>
      </c>
      <c r="V56" s="142" t="str">
        <f t="shared" si="11"/>
        <v>366</v>
      </c>
      <c r="X56" t="s">
        <v>1361</v>
      </c>
      <c r="Y56" t="s">
        <v>1362</v>
      </c>
    </row>
    <row r="57" spans="1:25">
      <c r="A57" s="146" t="str">
        <f>IF(C57="","",VLOOKUP('Opći dio'!$C$3,'Opći dio'!$L$6:$U$136,10,FALSE))</f>
        <v>08091</v>
      </c>
      <c r="B57" s="146" t="str">
        <f>IF(C57="","",VLOOKUP('Opći dio'!$C$3,'Opći dio'!$L$6:$U$136,9,FALSE))</f>
        <v>Agencije</v>
      </c>
      <c r="C57" s="152">
        <v>31</v>
      </c>
      <c r="D57" s="147" t="str">
        <f t="shared" si="1"/>
        <v>Vlastiti prihodi</v>
      </c>
      <c r="E57" s="152">
        <v>3113</v>
      </c>
      <c r="F57" s="147" t="str">
        <f t="shared" si="2"/>
        <v>Plaće za prekovremeni rad</v>
      </c>
      <c r="G57" s="199" t="s">
        <v>1343</v>
      </c>
      <c r="H57" s="147" t="str">
        <f t="shared" si="3"/>
        <v>ADMINISTRACIJA I UPRAVLJANJE NACIONALNE SVEUČILIŠNE KNJIŽNICE - OSTALI IZVORI FINANCIRANJA</v>
      </c>
      <c r="I57" s="196">
        <v>40000</v>
      </c>
      <c r="J57" s="196">
        <v>40000</v>
      </c>
      <c r="K57" s="196">
        <v>40000</v>
      </c>
      <c r="M57" s="142" t="str">
        <f t="shared" si="4"/>
        <v>311</v>
      </c>
      <c r="N57" s="142" t="str">
        <f t="shared" si="5"/>
        <v>31</v>
      </c>
      <c r="R57" s="142">
        <v>3662</v>
      </c>
      <c r="S57" s="142" t="s">
        <v>202</v>
      </c>
      <c r="U57" s="142" t="str">
        <f t="shared" si="10"/>
        <v>36</v>
      </c>
      <c r="V57" s="142" t="str">
        <f t="shared" si="11"/>
        <v>366</v>
      </c>
      <c r="X57" t="s">
        <v>1363</v>
      </c>
      <c r="Y57" t="s">
        <v>1364</v>
      </c>
    </row>
    <row r="58" spans="1:25">
      <c r="A58" s="146" t="str">
        <f>IF(C58="","",VLOOKUP('Opći dio'!$C$3,'Opći dio'!$L$6:$U$136,10,FALSE))</f>
        <v>08091</v>
      </c>
      <c r="B58" s="146" t="str">
        <f>IF(C58="","",VLOOKUP('Opći dio'!$C$3,'Opći dio'!$L$6:$U$136,9,FALSE))</f>
        <v>Agencije</v>
      </c>
      <c r="C58" s="152">
        <v>31</v>
      </c>
      <c r="D58" s="147" t="str">
        <f t="shared" si="1"/>
        <v>Vlastiti prihodi</v>
      </c>
      <c r="E58" s="152">
        <v>3121</v>
      </c>
      <c r="F58" s="147" t="str">
        <f t="shared" si="2"/>
        <v>Ostali rashodi za zaposlene</v>
      </c>
      <c r="G58" s="199" t="s">
        <v>1343</v>
      </c>
      <c r="H58" s="147" t="str">
        <f t="shared" si="3"/>
        <v>ADMINISTRACIJA I UPRAVLJANJE NACIONALNE SVEUČILIŠNE KNJIŽNICE - OSTALI IZVORI FINANCIRANJA</v>
      </c>
      <c r="I58" s="196">
        <v>30000</v>
      </c>
      <c r="J58" s="196">
        <v>30000</v>
      </c>
      <c r="K58" s="196">
        <v>30000</v>
      </c>
      <c r="M58" s="142" t="str">
        <f t="shared" si="4"/>
        <v>312</v>
      </c>
      <c r="N58" s="142" t="str">
        <f t="shared" si="5"/>
        <v>31</v>
      </c>
      <c r="R58" s="142">
        <v>3681</v>
      </c>
      <c r="S58" s="142" t="s">
        <v>33</v>
      </c>
      <c r="U58" s="142" t="str">
        <f t="shared" si="10"/>
        <v>36</v>
      </c>
      <c r="V58" s="142" t="str">
        <f t="shared" si="11"/>
        <v>368</v>
      </c>
      <c r="X58" t="s">
        <v>1365</v>
      </c>
      <c r="Y58" t="s">
        <v>1366</v>
      </c>
    </row>
    <row r="59" spans="1:25">
      <c r="A59" s="146" t="str">
        <f>IF(C59="","",VLOOKUP('Opći dio'!$C$3,'Opći dio'!$L$6:$U$136,10,FALSE))</f>
        <v>08091</v>
      </c>
      <c r="B59" s="146" t="str">
        <f>IF(C59="","",VLOOKUP('Opći dio'!$C$3,'Opći dio'!$L$6:$U$136,9,FALSE))</f>
        <v>Agencije</v>
      </c>
      <c r="C59" s="152">
        <v>31</v>
      </c>
      <c r="D59" s="147" t="str">
        <f t="shared" si="1"/>
        <v>Vlastiti prihodi</v>
      </c>
      <c r="E59" s="152">
        <v>3132</v>
      </c>
      <c r="F59" s="147" t="str">
        <f t="shared" si="2"/>
        <v>Doprinosi za obvezno zdravstveno osiguranje</v>
      </c>
      <c r="G59" s="199" t="s">
        <v>1343</v>
      </c>
      <c r="H59" s="147" t="str">
        <f t="shared" si="3"/>
        <v>ADMINISTRACIJA I UPRAVLJANJE NACIONALNE SVEUČILIŠNE KNJIŽNICE - OSTALI IZVORI FINANCIRANJA</v>
      </c>
      <c r="I59" s="196">
        <v>38000</v>
      </c>
      <c r="J59" s="196">
        <v>38000</v>
      </c>
      <c r="K59" s="196">
        <v>38000</v>
      </c>
      <c r="M59" s="142" t="str">
        <f t="shared" si="4"/>
        <v>313</v>
      </c>
      <c r="N59" s="142" t="str">
        <f t="shared" si="5"/>
        <v>31</v>
      </c>
      <c r="R59" s="142">
        <v>3682</v>
      </c>
      <c r="S59" s="142" t="s">
        <v>34</v>
      </c>
      <c r="U59" s="142" t="str">
        <f t="shared" si="10"/>
        <v>36</v>
      </c>
      <c r="V59" s="142" t="str">
        <f t="shared" si="11"/>
        <v>368</v>
      </c>
      <c r="X59" t="s">
        <v>1367</v>
      </c>
      <c r="Y59" t="s">
        <v>1368</v>
      </c>
    </row>
    <row r="60" spans="1:25">
      <c r="A60" s="146" t="str">
        <f>IF(C60="","",VLOOKUP('Opći dio'!$C$3,'Opći dio'!$L$6:$U$136,10,FALSE))</f>
        <v>08091</v>
      </c>
      <c r="B60" s="146" t="str">
        <f>IF(C60="","",VLOOKUP('Opći dio'!$C$3,'Opći dio'!$L$6:$U$136,9,FALSE))</f>
        <v>Agencije</v>
      </c>
      <c r="C60" s="152">
        <v>31</v>
      </c>
      <c r="D60" s="147" t="str">
        <f t="shared" si="1"/>
        <v>Vlastiti prihodi</v>
      </c>
      <c r="E60" s="152">
        <v>3211</v>
      </c>
      <c r="F60" s="147" t="str">
        <f t="shared" si="2"/>
        <v>Službena putovanja</v>
      </c>
      <c r="G60" s="199" t="s">
        <v>1343</v>
      </c>
      <c r="H60" s="147" t="str">
        <f t="shared" si="3"/>
        <v>ADMINISTRACIJA I UPRAVLJANJE NACIONALNE SVEUČILIŠNE KNJIŽNICE - OSTALI IZVORI FINANCIRANJA</v>
      </c>
      <c r="I60" s="196">
        <v>50000</v>
      </c>
      <c r="J60" s="196">
        <v>50000</v>
      </c>
      <c r="K60" s="196">
        <v>50000</v>
      </c>
      <c r="M60" s="142" t="str">
        <f t="shared" si="4"/>
        <v>321</v>
      </c>
      <c r="N60" s="142" t="str">
        <f t="shared" si="5"/>
        <v>32</v>
      </c>
      <c r="R60" s="142">
        <v>3691</v>
      </c>
      <c r="S60" s="142" t="s">
        <v>123</v>
      </c>
      <c r="U60" s="142" t="str">
        <f t="shared" si="10"/>
        <v>36</v>
      </c>
      <c r="V60" s="142" t="str">
        <f t="shared" si="11"/>
        <v>369</v>
      </c>
      <c r="X60" t="s">
        <v>1369</v>
      </c>
      <c r="Y60" t="s">
        <v>1370</v>
      </c>
    </row>
    <row r="61" spans="1:25">
      <c r="A61" s="146" t="str">
        <f>IF(C61="","",VLOOKUP('Opći dio'!$C$3,'Opći dio'!$L$6:$U$136,10,FALSE))</f>
        <v>08091</v>
      </c>
      <c r="B61" s="146" t="str">
        <f>IF(C61="","",VLOOKUP('Opći dio'!$C$3,'Opći dio'!$L$6:$U$136,9,FALSE))</f>
        <v>Agencije</v>
      </c>
      <c r="C61" s="152">
        <v>31</v>
      </c>
      <c r="D61" s="147" t="str">
        <f t="shared" si="1"/>
        <v>Vlastiti prihodi</v>
      </c>
      <c r="E61" s="152">
        <v>3212</v>
      </c>
      <c r="F61" s="147" t="str">
        <f t="shared" si="2"/>
        <v>Naknade za prijevoz, za rad na terenu i odvojeni život</v>
      </c>
      <c r="G61" s="199" t="s">
        <v>1343</v>
      </c>
      <c r="H61" s="147" t="str">
        <f t="shared" si="3"/>
        <v>ADMINISTRACIJA I UPRAVLJANJE NACIONALNE SVEUČILIŠNE KNJIŽNICE - OSTALI IZVORI FINANCIRANJA</v>
      </c>
      <c r="I61" s="196">
        <v>15000</v>
      </c>
      <c r="J61" s="196">
        <v>15000</v>
      </c>
      <c r="K61" s="196">
        <v>15000</v>
      </c>
      <c r="M61" s="142" t="str">
        <f t="shared" si="4"/>
        <v>321</v>
      </c>
      <c r="N61" s="142" t="str">
        <f t="shared" si="5"/>
        <v>32</v>
      </c>
      <c r="R61" s="142">
        <v>3692</v>
      </c>
      <c r="S61" s="142" t="s">
        <v>196</v>
      </c>
      <c r="U61" s="142" t="str">
        <f t="shared" si="10"/>
        <v>36</v>
      </c>
      <c r="V61" s="142" t="str">
        <f t="shared" si="11"/>
        <v>369</v>
      </c>
      <c r="X61" t="s">
        <v>1391</v>
      </c>
      <c r="Y61" t="s">
        <v>1392</v>
      </c>
    </row>
    <row r="62" spans="1:25">
      <c r="A62" s="146" t="str">
        <f>IF(C62="","",VLOOKUP('Opći dio'!$C$3,'Opći dio'!$L$6:$U$136,10,FALSE))</f>
        <v>08091</v>
      </c>
      <c r="B62" s="146" t="str">
        <f>IF(C62="","",VLOOKUP('Opći dio'!$C$3,'Opći dio'!$L$6:$U$136,9,FALSE))</f>
        <v>Agencije</v>
      </c>
      <c r="C62" s="152">
        <v>31</v>
      </c>
      <c r="D62" s="147" t="str">
        <f t="shared" si="1"/>
        <v>Vlastiti prihodi</v>
      </c>
      <c r="E62" s="152">
        <v>3213</v>
      </c>
      <c r="F62" s="147" t="str">
        <f t="shared" si="2"/>
        <v>Stručno usavršavanje zaposlenika</v>
      </c>
      <c r="G62" s="199" t="s">
        <v>1343</v>
      </c>
      <c r="H62" s="147" t="str">
        <f t="shared" si="3"/>
        <v>ADMINISTRACIJA I UPRAVLJANJE NACIONALNE SVEUČILIŠNE KNJIŽNICE - OSTALI IZVORI FINANCIRANJA</v>
      </c>
      <c r="I62" s="196">
        <v>15000</v>
      </c>
      <c r="J62" s="196">
        <v>15000</v>
      </c>
      <c r="K62" s="196">
        <v>15000</v>
      </c>
      <c r="M62" s="142" t="str">
        <f t="shared" si="4"/>
        <v>321</v>
      </c>
      <c r="N62" s="142" t="str">
        <f t="shared" si="5"/>
        <v>32</v>
      </c>
      <c r="R62" s="142">
        <v>3693</v>
      </c>
      <c r="S62" s="142" t="s">
        <v>123</v>
      </c>
      <c r="U62" s="142" t="str">
        <f t="shared" si="10"/>
        <v>36</v>
      </c>
      <c r="V62" s="142" t="str">
        <f t="shared" si="11"/>
        <v>369</v>
      </c>
      <c r="X62" t="s">
        <v>1371</v>
      </c>
      <c r="Y62" t="s">
        <v>1372</v>
      </c>
    </row>
    <row r="63" spans="1:25">
      <c r="A63" s="146" t="str">
        <f>IF(C63="","",VLOOKUP('Opći dio'!$C$3,'Opći dio'!$L$6:$U$136,10,FALSE))</f>
        <v>08091</v>
      </c>
      <c r="B63" s="146" t="str">
        <f>IF(C63="","",VLOOKUP('Opći dio'!$C$3,'Opći dio'!$L$6:$U$136,9,FALSE))</f>
        <v>Agencije</v>
      </c>
      <c r="C63" s="152">
        <v>31</v>
      </c>
      <c r="D63" s="147" t="str">
        <f t="shared" si="1"/>
        <v>Vlastiti prihodi</v>
      </c>
      <c r="E63" s="152">
        <v>3221</v>
      </c>
      <c r="F63" s="147" t="str">
        <f t="shared" si="2"/>
        <v>Uredski materijal i ostali materijalni rashodi</v>
      </c>
      <c r="G63" s="199" t="s">
        <v>1343</v>
      </c>
      <c r="H63" s="147" t="str">
        <f t="shared" si="3"/>
        <v>ADMINISTRACIJA I UPRAVLJANJE NACIONALNE SVEUČILIŠNE KNJIŽNICE - OSTALI IZVORI FINANCIRANJA</v>
      </c>
      <c r="I63" s="196">
        <v>100000</v>
      </c>
      <c r="J63" s="196">
        <v>100000</v>
      </c>
      <c r="K63" s="196">
        <v>100000</v>
      </c>
      <c r="M63" s="142" t="str">
        <f t="shared" si="4"/>
        <v>322</v>
      </c>
      <c r="N63" s="142" t="str">
        <f t="shared" si="5"/>
        <v>32</v>
      </c>
      <c r="R63" s="142">
        <v>3694</v>
      </c>
      <c r="S63" s="142" t="s">
        <v>196</v>
      </c>
      <c r="U63" s="142" t="str">
        <f t="shared" si="10"/>
        <v>36</v>
      </c>
      <c r="V63" s="142" t="str">
        <f t="shared" si="11"/>
        <v>369</v>
      </c>
      <c r="X63" t="s">
        <v>1314</v>
      </c>
      <c r="Y63" t="s">
        <v>1315</v>
      </c>
    </row>
    <row r="64" spans="1:25">
      <c r="A64" s="146" t="str">
        <f>IF(C64="","",VLOOKUP('Opći dio'!$C$3,'Opći dio'!$L$6:$U$136,10,FALSE))</f>
        <v>08091</v>
      </c>
      <c r="B64" s="146" t="str">
        <f>IF(C64="","",VLOOKUP('Opći dio'!$C$3,'Opći dio'!$L$6:$U$136,9,FALSE))</f>
        <v>Agencije</v>
      </c>
      <c r="C64" s="152">
        <v>31</v>
      </c>
      <c r="D64" s="147" t="str">
        <f t="shared" si="1"/>
        <v>Vlastiti prihodi</v>
      </c>
      <c r="E64" s="152">
        <v>3222</v>
      </c>
      <c r="F64" s="147" t="str">
        <f t="shared" si="2"/>
        <v>Materijal i sirovine</v>
      </c>
      <c r="G64" s="199" t="s">
        <v>1343</v>
      </c>
      <c r="H64" s="147" t="str">
        <f t="shared" si="3"/>
        <v>ADMINISTRACIJA I UPRAVLJANJE NACIONALNE SVEUČILIŠNE KNJIŽNICE - OSTALI IZVORI FINANCIRANJA</v>
      </c>
      <c r="I64" s="196">
        <v>5000</v>
      </c>
      <c r="J64" s="196">
        <v>5000</v>
      </c>
      <c r="K64" s="196">
        <v>5000</v>
      </c>
      <c r="M64" s="142" t="str">
        <f t="shared" si="4"/>
        <v>322</v>
      </c>
      <c r="N64" s="142" t="str">
        <f t="shared" si="5"/>
        <v>32</v>
      </c>
      <c r="R64" s="142">
        <v>3711</v>
      </c>
      <c r="S64" s="142" t="s">
        <v>143</v>
      </c>
      <c r="U64" s="142" t="str">
        <f t="shared" si="10"/>
        <v>37</v>
      </c>
      <c r="V64" s="142" t="str">
        <f t="shared" si="11"/>
        <v>371</v>
      </c>
      <c r="X64" t="s">
        <v>1318</v>
      </c>
      <c r="Y64" t="s">
        <v>1319</v>
      </c>
    </row>
    <row r="65" spans="1:25">
      <c r="A65" s="146" t="str">
        <f>IF(C65="","",VLOOKUP('Opći dio'!$C$3,'Opći dio'!$L$6:$U$136,10,FALSE))</f>
        <v>08091</v>
      </c>
      <c r="B65" s="146" t="str">
        <f>IF(C65="","",VLOOKUP('Opći dio'!$C$3,'Opći dio'!$L$6:$U$136,9,FALSE))</f>
        <v>Agencije</v>
      </c>
      <c r="C65" s="152">
        <v>31</v>
      </c>
      <c r="D65" s="147" t="str">
        <f t="shared" si="1"/>
        <v>Vlastiti prihodi</v>
      </c>
      <c r="E65" s="152">
        <v>3223</v>
      </c>
      <c r="F65" s="147" t="str">
        <f t="shared" si="2"/>
        <v>Energija</v>
      </c>
      <c r="G65" s="199" t="s">
        <v>1343</v>
      </c>
      <c r="H65" s="147" t="str">
        <f t="shared" si="3"/>
        <v>ADMINISTRACIJA I UPRAVLJANJE NACIONALNE SVEUČILIŠNE KNJIŽNICE - OSTALI IZVORI FINANCIRANJA</v>
      </c>
      <c r="I65" s="196">
        <v>100000</v>
      </c>
      <c r="J65" s="196">
        <v>100000</v>
      </c>
      <c r="K65" s="196">
        <v>100000</v>
      </c>
      <c r="M65" s="142" t="str">
        <f t="shared" si="4"/>
        <v>322</v>
      </c>
      <c r="N65" s="142" t="str">
        <f t="shared" si="5"/>
        <v>32</v>
      </c>
      <c r="R65" s="142">
        <v>3712</v>
      </c>
      <c r="S65" s="142" t="s">
        <v>161</v>
      </c>
      <c r="U65" s="142" t="str">
        <f t="shared" si="10"/>
        <v>37</v>
      </c>
      <c r="V65" s="142" t="str">
        <f t="shared" si="11"/>
        <v>371</v>
      </c>
      <c r="X65" t="s">
        <v>111</v>
      </c>
      <c r="Y65" t="s">
        <v>1263</v>
      </c>
    </row>
    <row r="66" spans="1:25">
      <c r="A66" s="146" t="str">
        <f>IF(C66="","",VLOOKUP('Opći dio'!$C$3,'Opći dio'!$L$6:$U$136,10,FALSE))</f>
        <v>08091</v>
      </c>
      <c r="B66" s="146" t="str">
        <f>IF(C66="","",VLOOKUP('Opći dio'!$C$3,'Opći dio'!$L$6:$U$136,9,FALSE))</f>
        <v>Agencije</v>
      </c>
      <c r="C66" s="152">
        <v>43</v>
      </c>
      <c r="D66" s="147" t="str">
        <f t="shared" si="1"/>
        <v>Ostali prihodi za posebne namjene</v>
      </c>
      <c r="E66" s="152">
        <v>3224</v>
      </c>
      <c r="F66" s="147" t="str">
        <f t="shared" si="2"/>
        <v>Materijal i dijelovi za tekuće i investicijsko održavanje</v>
      </c>
      <c r="G66" s="199" t="s">
        <v>1343</v>
      </c>
      <c r="H66" s="147" t="str">
        <f t="shared" si="3"/>
        <v>ADMINISTRACIJA I UPRAVLJANJE NACIONALNE SVEUČILIŠNE KNJIŽNICE - OSTALI IZVORI FINANCIRANJA</v>
      </c>
      <c r="I66" s="196">
        <v>700000</v>
      </c>
      <c r="J66" s="196">
        <v>700000</v>
      </c>
      <c r="K66" s="196">
        <v>700000</v>
      </c>
      <c r="M66" s="142" t="str">
        <f t="shared" si="4"/>
        <v>322</v>
      </c>
      <c r="N66" s="142" t="str">
        <f t="shared" si="5"/>
        <v>32</v>
      </c>
      <c r="R66" s="142">
        <v>3713</v>
      </c>
      <c r="S66" s="142" t="s">
        <v>188</v>
      </c>
      <c r="U66" s="142" t="str">
        <f t="shared" si="10"/>
        <v>37</v>
      </c>
      <c r="V66" s="142" t="str">
        <f t="shared" si="11"/>
        <v>371</v>
      </c>
      <c r="X66" t="s">
        <v>136</v>
      </c>
      <c r="Y66" t="s">
        <v>1264</v>
      </c>
    </row>
    <row r="67" spans="1:25">
      <c r="A67" s="146" t="str">
        <f>IF(C67="","",VLOOKUP('Opći dio'!$C$3,'Opći dio'!$L$6:$U$136,10,FALSE))</f>
        <v>08091</v>
      </c>
      <c r="B67" s="146" t="str">
        <f>IF(C67="","",VLOOKUP('Opći dio'!$C$3,'Opći dio'!$L$6:$U$136,9,FALSE))</f>
        <v>Agencije</v>
      </c>
      <c r="C67" s="152">
        <v>31</v>
      </c>
      <c r="D67" s="147" t="str">
        <f t="shared" si="1"/>
        <v>Vlastiti prihodi</v>
      </c>
      <c r="E67" s="152">
        <v>3225</v>
      </c>
      <c r="F67" s="147" t="str">
        <f t="shared" si="2"/>
        <v>Sitni inventar i auto gume</v>
      </c>
      <c r="G67" s="199" t="s">
        <v>1343</v>
      </c>
      <c r="H67" s="147" t="str">
        <f t="shared" si="3"/>
        <v>ADMINISTRACIJA I UPRAVLJANJE NACIONALNE SVEUČILIŠNE KNJIŽNICE - OSTALI IZVORI FINANCIRANJA</v>
      </c>
      <c r="I67" s="196">
        <v>40000</v>
      </c>
      <c r="J67" s="196">
        <v>40000</v>
      </c>
      <c r="K67" s="196">
        <v>40000</v>
      </c>
      <c r="M67" s="142" t="str">
        <f t="shared" si="4"/>
        <v>322</v>
      </c>
      <c r="N67" s="142" t="str">
        <f t="shared" si="5"/>
        <v>32</v>
      </c>
      <c r="R67" s="142">
        <v>3714</v>
      </c>
      <c r="S67" s="142" t="s">
        <v>209</v>
      </c>
      <c r="U67" s="142" t="str">
        <f t="shared" si="10"/>
        <v>37</v>
      </c>
      <c r="V67" s="142" t="str">
        <f t="shared" si="11"/>
        <v>371</v>
      </c>
      <c r="X67" t="s">
        <v>142</v>
      </c>
      <c r="Y67" t="s">
        <v>1265</v>
      </c>
    </row>
    <row r="68" spans="1:25">
      <c r="A68" s="146" t="str">
        <f>IF(C68="","",VLOOKUP('Opći dio'!$C$3,'Opći dio'!$L$6:$U$136,10,FALSE))</f>
        <v>08091</v>
      </c>
      <c r="B68" s="146" t="str">
        <f>IF(C68="","",VLOOKUP('Opći dio'!$C$3,'Opći dio'!$L$6:$U$136,9,FALSE))</f>
        <v>Agencije</v>
      </c>
      <c r="C68" s="152">
        <v>43</v>
      </c>
      <c r="D68" s="147" t="str">
        <f t="shared" ref="D68:D131" si="12">IFERROR(VLOOKUP(C68,$O$6:$P$22,2,FALSE),"")</f>
        <v>Ostali prihodi za posebne namjene</v>
      </c>
      <c r="E68" s="152">
        <v>3227</v>
      </c>
      <c r="F68" s="147" t="str">
        <f t="shared" ref="F68:F131" si="13">IFERROR(VLOOKUP(E68,$R$5:$T$129,2,FALSE),"")</f>
        <v>Službena, radna i zaštitna odjeća i obuća</v>
      </c>
      <c r="G68" s="199" t="s">
        <v>1343</v>
      </c>
      <c r="H68" s="147" t="str">
        <f t="shared" ref="H68:H131" si="14">IFERROR(VLOOKUP(G68,$X$6:$Y$171,2,FALSE),"")</f>
        <v>ADMINISTRACIJA I UPRAVLJANJE NACIONALNE SVEUČILIŠNE KNJIŽNICE - OSTALI IZVORI FINANCIRANJA</v>
      </c>
      <c r="I68" s="196">
        <v>50000</v>
      </c>
      <c r="J68" s="196">
        <v>50000</v>
      </c>
      <c r="K68" s="196">
        <v>50000</v>
      </c>
      <c r="M68" s="142" t="str">
        <f t="shared" ref="M68:M131" si="15">LEFT(E68,3)</f>
        <v>322</v>
      </c>
      <c r="N68" s="142" t="str">
        <f t="shared" ref="N68:N131" si="16">LEFT(E68,2)</f>
        <v>32</v>
      </c>
      <c r="R68" s="142">
        <v>3715</v>
      </c>
      <c r="S68" s="142" t="s">
        <v>147</v>
      </c>
      <c r="U68" s="142" t="str">
        <f t="shared" si="10"/>
        <v>37</v>
      </c>
      <c r="V68" s="142" t="str">
        <f t="shared" si="11"/>
        <v>371</v>
      </c>
      <c r="X68" t="s">
        <v>144</v>
      </c>
      <c r="Y68" t="s">
        <v>1266</v>
      </c>
    </row>
    <row r="69" spans="1:25">
      <c r="A69" s="146" t="str">
        <f>IF(C69="","",VLOOKUP('Opći dio'!$C$3,'Opći dio'!$L$6:$U$136,10,FALSE))</f>
        <v>08091</v>
      </c>
      <c r="B69" s="146" t="str">
        <f>IF(C69="","",VLOOKUP('Opći dio'!$C$3,'Opći dio'!$L$6:$U$136,9,FALSE))</f>
        <v>Agencije</v>
      </c>
      <c r="C69" s="152">
        <v>31</v>
      </c>
      <c r="D69" s="147" t="str">
        <f t="shared" si="12"/>
        <v>Vlastiti prihodi</v>
      </c>
      <c r="E69" s="152">
        <v>3231</v>
      </c>
      <c r="F69" s="147" t="str">
        <f t="shared" si="13"/>
        <v>Usluge telefona, pošte i prijevoza</v>
      </c>
      <c r="G69" s="199" t="s">
        <v>1343</v>
      </c>
      <c r="H69" s="147" t="str">
        <f t="shared" si="14"/>
        <v>ADMINISTRACIJA I UPRAVLJANJE NACIONALNE SVEUČILIŠNE KNJIŽNICE - OSTALI IZVORI FINANCIRANJA</v>
      </c>
      <c r="I69" s="196">
        <v>20000</v>
      </c>
      <c r="J69" s="196">
        <v>20000</v>
      </c>
      <c r="K69" s="196">
        <v>20000</v>
      </c>
      <c r="M69" s="142" t="str">
        <f t="shared" si="15"/>
        <v>323</v>
      </c>
      <c r="N69" s="142" t="str">
        <f t="shared" si="16"/>
        <v>32</v>
      </c>
      <c r="R69" s="142">
        <v>3721</v>
      </c>
      <c r="S69" s="142" t="s">
        <v>84</v>
      </c>
      <c r="U69" s="142" t="str">
        <f t="shared" si="10"/>
        <v>37</v>
      </c>
      <c r="V69" s="142" t="str">
        <f t="shared" si="11"/>
        <v>372</v>
      </c>
      <c r="X69" t="s">
        <v>150</v>
      </c>
      <c r="Y69" t="s">
        <v>1267</v>
      </c>
    </row>
    <row r="70" spans="1:25">
      <c r="A70" s="146" t="str">
        <f>IF(C70="","",VLOOKUP('Opći dio'!$C$3,'Opći dio'!$L$6:$U$136,10,FALSE))</f>
        <v>08091</v>
      </c>
      <c r="B70" s="146" t="str">
        <f>IF(C70="","",VLOOKUP('Opći dio'!$C$3,'Opći dio'!$L$6:$U$136,9,FALSE))</f>
        <v>Agencije</v>
      </c>
      <c r="C70" s="152">
        <v>31</v>
      </c>
      <c r="D70" s="147" t="str">
        <f t="shared" si="12"/>
        <v>Vlastiti prihodi</v>
      </c>
      <c r="E70" s="152">
        <v>3232</v>
      </c>
      <c r="F70" s="147" t="str">
        <f t="shared" si="13"/>
        <v>Usluge tekućeg i investicijskog održavanja</v>
      </c>
      <c r="G70" s="199" t="s">
        <v>1343</v>
      </c>
      <c r="H70" s="147" t="str">
        <f t="shared" si="14"/>
        <v>ADMINISTRACIJA I UPRAVLJANJE NACIONALNE SVEUČILIŠNE KNJIŽNICE - OSTALI IZVORI FINANCIRANJA</v>
      </c>
      <c r="I70" s="196">
        <v>50000</v>
      </c>
      <c r="J70" s="196">
        <v>50000</v>
      </c>
      <c r="K70" s="196">
        <v>50000</v>
      </c>
      <c r="M70" s="142" t="str">
        <f t="shared" si="15"/>
        <v>323</v>
      </c>
      <c r="N70" s="142" t="str">
        <f t="shared" si="16"/>
        <v>32</v>
      </c>
      <c r="R70" s="142">
        <v>3722</v>
      </c>
      <c r="S70" s="142" t="s">
        <v>170</v>
      </c>
      <c r="U70" s="142" t="str">
        <f t="shared" si="10"/>
        <v>37</v>
      </c>
      <c r="V70" s="142" t="str">
        <f t="shared" si="11"/>
        <v>372</v>
      </c>
      <c r="X70" t="s">
        <v>152</v>
      </c>
      <c r="Y70" t="s">
        <v>1268</v>
      </c>
    </row>
    <row r="71" spans="1:25">
      <c r="A71" s="146" t="str">
        <f>IF(C71="","",VLOOKUP('Opći dio'!$C$3,'Opći dio'!$L$6:$U$136,10,FALSE))</f>
        <v>08091</v>
      </c>
      <c r="B71" s="146" t="str">
        <f>IF(C71="","",VLOOKUP('Opći dio'!$C$3,'Opći dio'!$L$6:$U$136,9,FALSE))</f>
        <v>Agencije</v>
      </c>
      <c r="C71" s="152">
        <v>31</v>
      </c>
      <c r="D71" s="147" t="str">
        <f t="shared" si="12"/>
        <v>Vlastiti prihodi</v>
      </c>
      <c r="E71" s="152">
        <v>3233</v>
      </c>
      <c r="F71" s="147" t="str">
        <f t="shared" si="13"/>
        <v>Usluge promidžbe i informiranja</v>
      </c>
      <c r="G71" s="199" t="s">
        <v>1343</v>
      </c>
      <c r="H71" s="147" t="str">
        <f t="shared" si="14"/>
        <v>ADMINISTRACIJA I UPRAVLJANJE NACIONALNE SVEUČILIŠNE KNJIŽNICE - OSTALI IZVORI FINANCIRANJA</v>
      </c>
      <c r="I71" s="196">
        <v>100000</v>
      </c>
      <c r="J71" s="196">
        <v>100000</v>
      </c>
      <c r="K71" s="196">
        <v>100000</v>
      </c>
      <c r="M71" s="142" t="str">
        <f t="shared" si="15"/>
        <v>323</v>
      </c>
      <c r="N71" s="142" t="str">
        <f t="shared" si="16"/>
        <v>32</v>
      </c>
      <c r="R71" s="142">
        <v>3723</v>
      </c>
      <c r="S71" s="142" t="s">
        <v>124</v>
      </c>
      <c r="U71" s="142" t="str">
        <f t="shared" si="10"/>
        <v>37</v>
      </c>
      <c r="V71" s="142" t="str">
        <f t="shared" si="11"/>
        <v>372</v>
      </c>
      <c r="X71" t="s">
        <v>154</v>
      </c>
      <c r="Y71" t="s">
        <v>1269</v>
      </c>
    </row>
    <row r="72" spans="1:25">
      <c r="A72" s="146" t="str">
        <f>IF(C72="","",VLOOKUP('Opći dio'!$C$3,'Opći dio'!$L$6:$U$136,10,FALSE))</f>
        <v>08091</v>
      </c>
      <c r="B72" s="146" t="str">
        <f>IF(C72="","",VLOOKUP('Opći dio'!$C$3,'Opći dio'!$L$6:$U$136,9,FALSE))</f>
        <v>Agencije</v>
      </c>
      <c r="C72" s="152">
        <v>31</v>
      </c>
      <c r="D72" s="147" t="str">
        <f t="shared" si="12"/>
        <v>Vlastiti prihodi</v>
      </c>
      <c r="E72" s="152">
        <v>3234</v>
      </c>
      <c r="F72" s="147" t="str">
        <f t="shared" si="13"/>
        <v>Komunalne usluge</v>
      </c>
      <c r="G72" s="199" t="s">
        <v>1343</v>
      </c>
      <c r="H72" s="147" t="str">
        <f t="shared" si="14"/>
        <v>ADMINISTRACIJA I UPRAVLJANJE NACIONALNE SVEUČILIŠNE KNJIŽNICE - OSTALI IZVORI FINANCIRANJA</v>
      </c>
      <c r="I72" s="196">
        <v>100000</v>
      </c>
      <c r="J72" s="196">
        <v>100000</v>
      </c>
      <c r="K72" s="196">
        <v>100000</v>
      </c>
      <c r="M72" s="142" t="str">
        <f t="shared" si="15"/>
        <v>323</v>
      </c>
      <c r="N72" s="142" t="str">
        <f t="shared" si="16"/>
        <v>32</v>
      </c>
      <c r="R72" s="142">
        <v>3811</v>
      </c>
      <c r="S72" s="142" t="s">
        <v>74</v>
      </c>
      <c r="U72" s="142" t="str">
        <f t="shared" si="10"/>
        <v>38</v>
      </c>
      <c r="V72" s="142" t="str">
        <f t="shared" si="11"/>
        <v>381</v>
      </c>
      <c r="X72" t="s">
        <v>158</v>
      </c>
      <c r="Y72" t="s">
        <v>1270</v>
      </c>
    </row>
    <row r="73" spans="1:25">
      <c r="A73" s="146" t="str">
        <f>IF(C73="","",VLOOKUP('Opći dio'!$C$3,'Opći dio'!$L$6:$U$136,10,FALSE))</f>
        <v>08091</v>
      </c>
      <c r="B73" s="146" t="str">
        <f>IF(C73="","",VLOOKUP('Opći dio'!$C$3,'Opći dio'!$L$6:$U$136,9,FALSE))</f>
        <v>Agencije</v>
      </c>
      <c r="C73" s="152">
        <v>31</v>
      </c>
      <c r="D73" s="147" t="str">
        <f t="shared" si="12"/>
        <v>Vlastiti prihodi</v>
      </c>
      <c r="E73" s="152">
        <v>3235</v>
      </c>
      <c r="F73" s="147" t="str">
        <f t="shared" si="13"/>
        <v>Zakupnine i najamnine</v>
      </c>
      <c r="G73" s="199" t="s">
        <v>1343</v>
      </c>
      <c r="H73" s="147" t="str">
        <f t="shared" si="14"/>
        <v>ADMINISTRACIJA I UPRAVLJANJE NACIONALNE SVEUČILIŠNE KNJIŽNICE - OSTALI IZVORI FINANCIRANJA</v>
      </c>
      <c r="I73" s="196">
        <v>20000</v>
      </c>
      <c r="J73" s="196">
        <v>20000</v>
      </c>
      <c r="K73" s="196">
        <v>20000</v>
      </c>
      <c r="M73" s="142" t="str">
        <f t="shared" si="15"/>
        <v>323</v>
      </c>
      <c r="N73" s="142" t="str">
        <f t="shared" si="16"/>
        <v>32</v>
      </c>
      <c r="R73" s="142">
        <v>3812</v>
      </c>
      <c r="S73" s="142" t="s">
        <v>171</v>
      </c>
      <c r="U73" s="142" t="str">
        <f t="shared" si="10"/>
        <v>38</v>
      </c>
      <c r="V73" s="142" t="str">
        <f t="shared" si="11"/>
        <v>381</v>
      </c>
      <c r="X73" t="s">
        <v>162</v>
      </c>
      <c r="Y73" t="s">
        <v>163</v>
      </c>
    </row>
    <row r="74" spans="1:25">
      <c r="A74" s="146" t="str">
        <f>IF(C74="","",VLOOKUP('Opći dio'!$C$3,'Opći dio'!$L$6:$U$136,10,FALSE))</f>
        <v>08091</v>
      </c>
      <c r="B74" s="146" t="str">
        <f>IF(C74="","",VLOOKUP('Opći dio'!$C$3,'Opći dio'!$L$6:$U$136,9,FALSE))</f>
        <v>Agencije</v>
      </c>
      <c r="C74" s="152">
        <v>31</v>
      </c>
      <c r="D74" s="147" t="str">
        <f t="shared" si="12"/>
        <v>Vlastiti prihodi</v>
      </c>
      <c r="E74" s="152">
        <v>3236</v>
      </c>
      <c r="F74" s="147" t="str">
        <f t="shared" si="13"/>
        <v>Zdravstvene i veterinarske usluge</v>
      </c>
      <c r="G74" s="199" t="s">
        <v>1343</v>
      </c>
      <c r="H74" s="147" t="str">
        <f t="shared" si="14"/>
        <v>ADMINISTRACIJA I UPRAVLJANJE NACIONALNE SVEUČILIŠNE KNJIŽNICE - OSTALI IZVORI FINANCIRANJA</v>
      </c>
      <c r="I74" s="196">
        <v>5000</v>
      </c>
      <c r="J74" s="196">
        <v>5000</v>
      </c>
      <c r="K74" s="196">
        <v>5000</v>
      </c>
      <c r="M74" s="142" t="str">
        <f t="shared" si="15"/>
        <v>323</v>
      </c>
      <c r="N74" s="142" t="str">
        <f t="shared" si="16"/>
        <v>32</v>
      </c>
      <c r="R74" s="142">
        <v>3813</v>
      </c>
      <c r="S74" s="142" t="s">
        <v>113</v>
      </c>
      <c r="U74" s="142" t="str">
        <f t="shared" ref="U74:U80" si="17">LEFT(R74,2)</f>
        <v>38</v>
      </c>
      <c r="V74" s="142" t="str">
        <f t="shared" ref="V74:V80" si="18">LEFT(R74,3)</f>
        <v>381</v>
      </c>
      <c r="X74" t="s">
        <v>164</v>
      </c>
      <c r="Y74" t="s">
        <v>1271</v>
      </c>
    </row>
    <row r="75" spans="1:25">
      <c r="A75" s="146" t="str">
        <f>IF(C75="","",VLOOKUP('Opći dio'!$C$3,'Opći dio'!$L$6:$U$136,10,FALSE))</f>
        <v>08091</v>
      </c>
      <c r="B75" s="146" t="str">
        <f>IF(C75="","",VLOOKUP('Opći dio'!$C$3,'Opći dio'!$L$6:$U$136,9,FALSE))</f>
        <v>Agencije</v>
      </c>
      <c r="C75" s="152">
        <v>31</v>
      </c>
      <c r="D75" s="147" t="str">
        <f t="shared" si="12"/>
        <v>Vlastiti prihodi</v>
      </c>
      <c r="E75" s="152">
        <v>3237</v>
      </c>
      <c r="F75" s="147" t="str">
        <f t="shared" si="13"/>
        <v>Intelektualne i osobne usluge</v>
      </c>
      <c r="G75" s="199" t="s">
        <v>1343</v>
      </c>
      <c r="H75" s="147" t="str">
        <f t="shared" si="14"/>
        <v>ADMINISTRACIJA I UPRAVLJANJE NACIONALNE SVEUČILIŠNE KNJIŽNICE - OSTALI IZVORI FINANCIRANJA</v>
      </c>
      <c r="I75" s="196">
        <v>100000</v>
      </c>
      <c r="J75" s="196">
        <v>100000</v>
      </c>
      <c r="K75" s="196">
        <v>100000</v>
      </c>
      <c r="M75" s="142" t="str">
        <f t="shared" si="15"/>
        <v>323</v>
      </c>
      <c r="N75" s="142" t="str">
        <f t="shared" si="16"/>
        <v>32</v>
      </c>
      <c r="R75" s="142">
        <v>3821</v>
      </c>
      <c r="S75" s="142" t="s">
        <v>189</v>
      </c>
      <c r="U75" s="142" t="str">
        <f t="shared" si="17"/>
        <v>38</v>
      </c>
      <c r="V75" s="142" t="str">
        <f t="shared" si="18"/>
        <v>382</v>
      </c>
      <c r="X75" t="s">
        <v>165</v>
      </c>
      <c r="Y75" t="s">
        <v>1272</v>
      </c>
    </row>
    <row r="76" spans="1:25">
      <c r="A76" s="146" t="str">
        <f>IF(C76="","",VLOOKUP('Opći dio'!$C$3,'Opći dio'!$L$6:$U$136,10,FALSE))</f>
        <v>08091</v>
      </c>
      <c r="B76" s="146" t="str">
        <f>IF(C76="","",VLOOKUP('Opći dio'!$C$3,'Opći dio'!$L$6:$U$136,9,FALSE))</f>
        <v>Agencije</v>
      </c>
      <c r="C76" s="152">
        <v>31</v>
      </c>
      <c r="D76" s="147" t="str">
        <f t="shared" si="12"/>
        <v>Vlastiti prihodi</v>
      </c>
      <c r="E76" s="152">
        <v>3238</v>
      </c>
      <c r="F76" s="147" t="str">
        <f t="shared" si="13"/>
        <v>Računalne usluge</v>
      </c>
      <c r="G76" s="199" t="s">
        <v>1343</v>
      </c>
      <c r="H76" s="147" t="str">
        <f t="shared" si="14"/>
        <v>ADMINISTRACIJA I UPRAVLJANJE NACIONALNE SVEUČILIŠNE KNJIŽNICE - OSTALI IZVORI FINANCIRANJA</v>
      </c>
      <c r="I76" s="196">
        <v>100000</v>
      </c>
      <c r="J76" s="196">
        <v>100000</v>
      </c>
      <c r="K76" s="196">
        <v>100000</v>
      </c>
      <c r="M76" s="142" t="str">
        <f t="shared" si="15"/>
        <v>323</v>
      </c>
      <c r="N76" s="142" t="str">
        <f t="shared" si="16"/>
        <v>32</v>
      </c>
      <c r="R76" s="142">
        <v>3831</v>
      </c>
      <c r="S76" s="142" t="s">
        <v>172</v>
      </c>
      <c r="U76" s="142" t="str">
        <f t="shared" si="17"/>
        <v>38</v>
      </c>
      <c r="V76" s="142" t="str">
        <f t="shared" si="18"/>
        <v>383</v>
      </c>
      <c r="X76" t="s">
        <v>194</v>
      </c>
      <c r="Y76" t="s">
        <v>1273</v>
      </c>
    </row>
    <row r="77" spans="1:25">
      <c r="A77" s="146" t="str">
        <f>IF(C77="","",VLOOKUP('Opći dio'!$C$3,'Opći dio'!$L$6:$U$136,10,FALSE))</f>
        <v>08091</v>
      </c>
      <c r="B77" s="146" t="str">
        <f>IF(C77="","",VLOOKUP('Opći dio'!$C$3,'Opći dio'!$L$6:$U$136,9,FALSE))</f>
        <v>Agencije</v>
      </c>
      <c r="C77" s="152">
        <v>31</v>
      </c>
      <c r="D77" s="147" t="str">
        <f t="shared" si="12"/>
        <v>Vlastiti prihodi</v>
      </c>
      <c r="E77" s="152">
        <v>3239</v>
      </c>
      <c r="F77" s="147" t="str">
        <f t="shared" si="13"/>
        <v>Ostale usluge</v>
      </c>
      <c r="G77" s="199" t="s">
        <v>1343</v>
      </c>
      <c r="H77" s="147" t="str">
        <f t="shared" si="14"/>
        <v>ADMINISTRACIJA I UPRAVLJANJE NACIONALNE SVEUČILIŠNE KNJIŽNICE - OSTALI IZVORI FINANCIRANJA</v>
      </c>
      <c r="I77" s="196">
        <v>700000</v>
      </c>
      <c r="J77" s="196">
        <v>700000</v>
      </c>
      <c r="K77" s="196">
        <v>700000</v>
      </c>
      <c r="M77" s="142" t="str">
        <f t="shared" si="15"/>
        <v>323</v>
      </c>
      <c r="N77" s="142" t="str">
        <f t="shared" si="16"/>
        <v>32</v>
      </c>
      <c r="R77" s="142">
        <v>3832</v>
      </c>
      <c r="S77" s="142" t="s">
        <v>212</v>
      </c>
      <c r="U77" s="142" t="str">
        <f t="shared" si="17"/>
        <v>38</v>
      </c>
      <c r="V77" s="142" t="str">
        <f t="shared" si="18"/>
        <v>383</v>
      </c>
      <c r="X77" t="s">
        <v>197</v>
      </c>
      <c r="Y77" t="s">
        <v>1274</v>
      </c>
    </row>
    <row r="78" spans="1:25">
      <c r="A78" s="146" t="str">
        <f>IF(C78="","",VLOOKUP('Opći dio'!$C$3,'Opći dio'!$L$6:$U$136,10,FALSE))</f>
        <v>08091</v>
      </c>
      <c r="B78" s="146" t="str">
        <f>IF(C78="","",VLOOKUP('Opći dio'!$C$3,'Opći dio'!$L$6:$U$136,9,FALSE))</f>
        <v>Agencije</v>
      </c>
      <c r="C78" s="152">
        <v>31</v>
      </c>
      <c r="D78" s="147" t="str">
        <f t="shared" si="12"/>
        <v>Vlastiti prihodi</v>
      </c>
      <c r="E78" s="152">
        <v>3241</v>
      </c>
      <c r="F78" s="147" t="str">
        <f t="shared" si="13"/>
        <v>Naknade troškova osobama izvan radnog odnosa</v>
      </c>
      <c r="G78" s="199" t="s">
        <v>1343</v>
      </c>
      <c r="H78" s="147" t="str">
        <f t="shared" si="14"/>
        <v>ADMINISTRACIJA I UPRAVLJANJE NACIONALNE SVEUČILIŠNE KNJIŽNICE - OSTALI IZVORI FINANCIRANJA</v>
      </c>
      <c r="I78" s="196">
        <v>10000</v>
      </c>
      <c r="J78" s="196">
        <v>10000</v>
      </c>
      <c r="K78" s="196">
        <v>10000</v>
      </c>
      <c r="M78" s="142" t="str">
        <f t="shared" si="15"/>
        <v>324</v>
      </c>
      <c r="N78" s="142" t="str">
        <f t="shared" si="16"/>
        <v>32</v>
      </c>
      <c r="R78" s="142">
        <v>3833</v>
      </c>
      <c r="S78" s="142" t="s">
        <v>173</v>
      </c>
      <c r="U78" s="142" t="str">
        <f t="shared" si="17"/>
        <v>38</v>
      </c>
      <c r="V78" s="142" t="str">
        <f t="shared" si="18"/>
        <v>383</v>
      </c>
      <c r="X78" t="s">
        <v>200</v>
      </c>
      <c r="Y78" t="s">
        <v>1275</v>
      </c>
    </row>
    <row r="79" spans="1:25">
      <c r="A79" s="146" t="str">
        <f>IF(C79="","",VLOOKUP('Opći dio'!$C$3,'Opći dio'!$L$6:$U$136,10,FALSE))</f>
        <v>08091</v>
      </c>
      <c r="B79" s="146" t="str">
        <f>IF(C79="","",VLOOKUP('Opći dio'!$C$3,'Opći dio'!$L$6:$U$136,9,FALSE))</f>
        <v>Agencije</v>
      </c>
      <c r="C79" s="152">
        <v>31</v>
      </c>
      <c r="D79" s="147" t="str">
        <f t="shared" si="12"/>
        <v>Vlastiti prihodi</v>
      </c>
      <c r="E79" s="152">
        <v>3292</v>
      </c>
      <c r="F79" s="147" t="str">
        <f t="shared" si="13"/>
        <v>Premije osiguranja</v>
      </c>
      <c r="G79" s="199" t="s">
        <v>1343</v>
      </c>
      <c r="H79" s="147" t="str">
        <f t="shared" si="14"/>
        <v>ADMINISTRACIJA I UPRAVLJANJE NACIONALNE SVEUČILIŠNE KNJIŽNICE - OSTALI IZVORI FINANCIRANJA</v>
      </c>
      <c r="I79" s="196">
        <v>5000</v>
      </c>
      <c r="J79" s="196">
        <v>5000</v>
      </c>
      <c r="K79" s="196">
        <v>5000</v>
      </c>
      <c r="M79" s="142" t="str">
        <f t="shared" si="15"/>
        <v>329</v>
      </c>
      <c r="N79" s="142" t="str">
        <f t="shared" si="16"/>
        <v>32</v>
      </c>
      <c r="R79" s="142">
        <v>3834</v>
      </c>
      <c r="S79" s="142" t="s">
        <v>174</v>
      </c>
      <c r="U79" s="142" t="str">
        <f t="shared" si="17"/>
        <v>38</v>
      </c>
      <c r="V79" s="142" t="str">
        <f t="shared" si="18"/>
        <v>383</v>
      </c>
      <c r="X79" t="s">
        <v>204</v>
      </c>
      <c r="Y79" t="s">
        <v>1276</v>
      </c>
    </row>
    <row r="80" spans="1:25">
      <c r="A80" s="146" t="str">
        <f>IF(C80="","",VLOOKUP('Opći dio'!$C$3,'Opći dio'!$L$6:$U$136,10,FALSE))</f>
        <v>08091</v>
      </c>
      <c r="B80" s="146" t="str">
        <f>IF(C80="","",VLOOKUP('Opći dio'!$C$3,'Opći dio'!$L$6:$U$136,9,FALSE))</f>
        <v>Agencije</v>
      </c>
      <c r="C80" s="152">
        <v>31</v>
      </c>
      <c r="D80" s="147" t="str">
        <f t="shared" si="12"/>
        <v>Vlastiti prihodi</v>
      </c>
      <c r="E80" s="152">
        <v>3292</v>
      </c>
      <c r="F80" s="147" t="str">
        <f t="shared" si="13"/>
        <v>Premije osiguranja</v>
      </c>
      <c r="G80" s="199" t="s">
        <v>1343</v>
      </c>
      <c r="H80" s="147" t="str">
        <f t="shared" si="14"/>
        <v>ADMINISTRACIJA I UPRAVLJANJE NACIONALNE SVEUČILIŠNE KNJIŽNICE - OSTALI IZVORI FINANCIRANJA</v>
      </c>
      <c r="I80" s="196">
        <v>70000</v>
      </c>
      <c r="J80" s="196">
        <v>70000</v>
      </c>
      <c r="K80" s="196">
        <v>70000</v>
      </c>
      <c r="M80" s="142" t="str">
        <f t="shared" si="15"/>
        <v>329</v>
      </c>
      <c r="N80" s="142" t="str">
        <f t="shared" si="16"/>
        <v>32</v>
      </c>
      <c r="R80" s="142">
        <v>3835</v>
      </c>
      <c r="S80" s="142" t="s">
        <v>175</v>
      </c>
      <c r="U80" s="142" t="str">
        <f t="shared" si="17"/>
        <v>38</v>
      </c>
      <c r="V80" s="142" t="str">
        <f t="shared" si="18"/>
        <v>383</v>
      </c>
      <c r="X80" t="s">
        <v>205</v>
      </c>
      <c r="Y80" t="s">
        <v>1277</v>
      </c>
    </row>
    <row r="81" spans="1:25">
      <c r="A81" s="146" t="str">
        <f>IF(C81="","",VLOOKUP('Opći dio'!$C$3,'Opći dio'!$L$6:$U$136,10,FALSE))</f>
        <v>08091</v>
      </c>
      <c r="B81" s="146" t="str">
        <f>IF(C81="","",VLOOKUP('Opći dio'!$C$3,'Opći dio'!$L$6:$U$136,9,FALSE))</f>
        <v>Agencije</v>
      </c>
      <c r="C81" s="152">
        <v>43</v>
      </c>
      <c r="D81" s="147" t="str">
        <f t="shared" si="12"/>
        <v>Ostali prihodi za posebne namjene</v>
      </c>
      <c r="E81" s="152">
        <v>3294</v>
      </c>
      <c r="F81" s="147" t="str">
        <f t="shared" si="13"/>
        <v>Članarine i norme</v>
      </c>
      <c r="G81" s="199" t="s">
        <v>1343</v>
      </c>
      <c r="H81" s="147" t="str">
        <f t="shared" si="14"/>
        <v>ADMINISTRACIJA I UPRAVLJANJE NACIONALNE SVEUČILIŠNE KNJIŽNICE - OSTALI IZVORI FINANCIRANJA</v>
      </c>
      <c r="I81" s="196">
        <v>100000</v>
      </c>
      <c r="J81" s="196">
        <v>100000</v>
      </c>
      <c r="K81" s="196">
        <v>100000</v>
      </c>
      <c r="M81" s="142" t="str">
        <f t="shared" si="15"/>
        <v>329</v>
      </c>
      <c r="N81" s="142" t="str">
        <f t="shared" si="16"/>
        <v>32</v>
      </c>
      <c r="R81" s="212">
        <v>3861</v>
      </c>
      <c r="S81" s="213" t="s">
        <v>849</v>
      </c>
      <c r="T81" s="212"/>
      <c r="U81" s="212" t="str">
        <f t="shared" ref="U81:U83" si="19">LEFT(R81,2)</f>
        <v>38</v>
      </c>
      <c r="V81" s="212" t="str">
        <f t="shared" ref="V81:V83" si="20">LEFT(R81,3)</f>
        <v>386</v>
      </c>
      <c r="X81" t="s">
        <v>207</v>
      </c>
      <c r="Y81" t="s">
        <v>1278</v>
      </c>
    </row>
    <row r="82" spans="1:25">
      <c r="A82" s="146" t="str">
        <f>IF(C82="","",VLOOKUP('Opći dio'!$C$3,'Opći dio'!$L$6:$U$136,10,FALSE))</f>
        <v>08091</v>
      </c>
      <c r="B82" s="146" t="str">
        <f>IF(C82="","",VLOOKUP('Opći dio'!$C$3,'Opći dio'!$L$6:$U$136,9,FALSE))</f>
        <v>Agencije</v>
      </c>
      <c r="C82" s="152">
        <v>43</v>
      </c>
      <c r="D82" s="147" t="str">
        <f t="shared" si="12"/>
        <v>Ostali prihodi za posebne namjene</v>
      </c>
      <c r="E82" s="152">
        <v>3295</v>
      </c>
      <c r="F82" s="147" t="str">
        <f t="shared" si="13"/>
        <v>Pristojbe i naknade</v>
      </c>
      <c r="G82" s="199" t="s">
        <v>1343</v>
      </c>
      <c r="H82" s="147" t="str">
        <f t="shared" si="14"/>
        <v>ADMINISTRACIJA I UPRAVLJANJE NACIONALNE SVEUČILIŠNE KNJIŽNICE - OSTALI IZVORI FINANCIRANJA</v>
      </c>
      <c r="I82" s="196">
        <v>50000</v>
      </c>
      <c r="J82" s="196">
        <v>50000</v>
      </c>
      <c r="K82" s="196">
        <v>50000</v>
      </c>
      <c r="M82" s="142" t="str">
        <f t="shared" si="15"/>
        <v>329</v>
      </c>
      <c r="N82" s="142" t="str">
        <f t="shared" si="16"/>
        <v>32</v>
      </c>
      <c r="R82" s="211">
        <v>3862</v>
      </c>
      <c r="S82" s="142" t="s">
        <v>850</v>
      </c>
      <c r="U82" s="142" t="str">
        <f t="shared" si="19"/>
        <v>38</v>
      </c>
      <c r="V82" s="142" t="str">
        <f t="shared" si="20"/>
        <v>386</v>
      </c>
      <c r="X82" t="s">
        <v>213</v>
      </c>
      <c r="Y82" t="s">
        <v>1279</v>
      </c>
    </row>
    <row r="83" spans="1:25">
      <c r="A83" s="146" t="str">
        <f>IF(C83="","",VLOOKUP('Opći dio'!$C$3,'Opći dio'!$L$6:$U$136,10,FALSE))</f>
        <v>08091</v>
      </c>
      <c r="B83" s="146" t="str">
        <f>IF(C83="","",VLOOKUP('Opći dio'!$C$3,'Opći dio'!$L$6:$U$136,9,FALSE))</f>
        <v>Agencije</v>
      </c>
      <c r="C83" s="152">
        <v>31</v>
      </c>
      <c r="D83" s="147" t="str">
        <f t="shared" si="12"/>
        <v>Vlastiti prihodi</v>
      </c>
      <c r="E83" s="152">
        <v>3299</v>
      </c>
      <c r="F83" s="147" t="str">
        <f t="shared" si="13"/>
        <v>Ostali nespomenuti rashodi poslovanja</v>
      </c>
      <c r="G83" s="199" t="s">
        <v>1343</v>
      </c>
      <c r="H83" s="147" t="str">
        <f t="shared" si="14"/>
        <v>ADMINISTRACIJA I UPRAVLJANJE NACIONALNE SVEUČILIŠNE KNJIŽNICE - OSTALI IZVORI FINANCIRANJA</v>
      </c>
      <c r="I83" s="196">
        <v>50000</v>
      </c>
      <c r="J83" s="196">
        <v>50000</v>
      </c>
      <c r="K83" s="196">
        <v>50000</v>
      </c>
      <c r="M83" s="142" t="str">
        <f t="shared" si="15"/>
        <v>329</v>
      </c>
      <c r="N83" s="142" t="str">
        <f t="shared" si="16"/>
        <v>32</v>
      </c>
      <c r="R83" s="211">
        <v>3863</v>
      </c>
      <c r="S83" s="142" t="s">
        <v>851</v>
      </c>
      <c r="U83" s="142" t="str">
        <f t="shared" si="19"/>
        <v>38</v>
      </c>
      <c r="V83" s="142" t="str">
        <f t="shared" si="20"/>
        <v>386</v>
      </c>
      <c r="X83" t="s">
        <v>214</v>
      </c>
      <c r="Y83" t="s">
        <v>1280</v>
      </c>
    </row>
    <row r="84" spans="1:25">
      <c r="A84" s="146" t="str">
        <f>IF(C84="","",VLOOKUP('Opći dio'!$C$3,'Opći dio'!$L$6:$U$136,10,FALSE))</f>
        <v>08091</v>
      </c>
      <c r="B84" s="146" t="str">
        <f>IF(C84="","",VLOOKUP('Opći dio'!$C$3,'Opći dio'!$L$6:$U$136,9,FALSE))</f>
        <v>Agencije</v>
      </c>
      <c r="C84" s="152">
        <v>31</v>
      </c>
      <c r="D84" s="147" t="str">
        <f t="shared" si="12"/>
        <v>Vlastiti prihodi</v>
      </c>
      <c r="E84" s="152">
        <v>3239</v>
      </c>
      <c r="F84" s="147" t="str">
        <f t="shared" si="13"/>
        <v>Ostale usluge</v>
      </c>
      <c r="G84" s="199" t="s">
        <v>1343</v>
      </c>
      <c r="H84" s="147" t="str">
        <f t="shared" si="14"/>
        <v>ADMINISTRACIJA I UPRAVLJANJE NACIONALNE SVEUČILIŠNE KNJIŽNICE - OSTALI IZVORI FINANCIRANJA</v>
      </c>
      <c r="I84" s="196">
        <v>400000</v>
      </c>
      <c r="J84" s="196">
        <v>400000</v>
      </c>
      <c r="K84" s="196">
        <v>400000</v>
      </c>
      <c r="M84" s="142" t="str">
        <f t="shared" si="15"/>
        <v>323</v>
      </c>
      <c r="N84" s="142" t="str">
        <f t="shared" si="16"/>
        <v>32</v>
      </c>
      <c r="R84" s="142">
        <v>4111</v>
      </c>
      <c r="S84" s="142" t="s">
        <v>176</v>
      </c>
      <c r="U84" s="142" t="str">
        <f t="shared" ref="U84:U101" si="21">LEFT(R84,2)</f>
        <v>41</v>
      </c>
      <c r="V84" s="142" t="str">
        <f t="shared" ref="V84:V118" si="22">LEFT(R84,3)</f>
        <v>411</v>
      </c>
      <c r="X84" t="s">
        <v>861</v>
      </c>
      <c r="Y84" t="s">
        <v>862</v>
      </c>
    </row>
    <row r="85" spans="1:25">
      <c r="A85" s="146" t="str">
        <f>IF(C85="","",VLOOKUP('Opći dio'!$C$3,'Opći dio'!$L$6:$U$136,10,FALSE))</f>
        <v>08091</v>
      </c>
      <c r="B85" s="146" t="str">
        <f>IF(C85="","",VLOOKUP('Opći dio'!$C$3,'Opći dio'!$L$6:$U$136,9,FALSE))</f>
        <v>Agencije</v>
      </c>
      <c r="C85" s="152">
        <v>31</v>
      </c>
      <c r="D85" s="147" t="str">
        <f t="shared" si="12"/>
        <v>Vlastiti prihodi</v>
      </c>
      <c r="E85" s="152">
        <v>3431</v>
      </c>
      <c r="F85" s="147" t="str">
        <f t="shared" si="13"/>
        <v>Bankarske usluge i usluge platnog prometa</v>
      </c>
      <c r="G85" s="199" t="s">
        <v>1343</v>
      </c>
      <c r="H85" s="147" t="str">
        <f t="shared" si="14"/>
        <v>ADMINISTRACIJA I UPRAVLJANJE NACIONALNE SVEUČILIŠNE KNJIŽNICE - OSTALI IZVORI FINANCIRANJA</v>
      </c>
      <c r="I85" s="196">
        <v>5000</v>
      </c>
      <c r="J85" s="196">
        <v>5000</v>
      </c>
      <c r="K85" s="196">
        <v>5000</v>
      </c>
      <c r="M85" s="142" t="str">
        <f t="shared" si="15"/>
        <v>343</v>
      </c>
      <c r="N85" s="142" t="str">
        <f t="shared" si="16"/>
        <v>34</v>
      </c>
      <c r="R85" s="142">
        <v>4113</v>
      </c>
      <c r="S85" s="142" t="s">
        <v>210</v>
      </c>
      <c r="U85" s="142" t="str">
        <f t="shared" si="21"/>
        <v>41</v>
      </c>
      <c r="V85" s="142" t="str">
        <f t="shared" si="22"/>
        <v>411</v>
      </c>
      <c r="X85" t="s">
        <v>1403</v>
      </c>
      <c r="Y85" t="s">
        <v>1404</v>
      </c>
    </row>
    <row r="86" spans="1:25">
      <c r="A86" s="146" t="str">
        <f>IF(C86="","",VLOOKUP('Opći dio'!$C$3,'Opći dio'!$L$6:$U$136,10,FALSE))</f>
        <v>08091</v>
      </c>
      <c r="B86" s="146" t="str">
        <f>IF(C86="","",VLOOKUP('Opći dio'!$C$3,'Opći dio'!$L$6:$U$136,9,FALSE))</f>
        <v>Agencije</v>
      </c>
      <c r="C86" s="152">
        <v>31</v>
      </c>
      <c r="D86" s="147" t="str">
        <f t="shared" si="12"/>
        <v>Vlastiti prihodi</v>
      </c>
      <c r="E86" s="152">
        <v>3432</v>
      </c>
      <c r="F86" s="147" t="str">
        <f t="shared" si="13"/>
        <v>Negativne tečajne razlike i razlike zbog primjene valutne kl</v>
      </c>
      <c r="G86" s="199" t="s">
        <v>1343</v>
      </c>
      <c r="H86" s="147" t="str">
        <f t="shared" si="14"/>
        <v>ADMINISTRACIJA I UPRAVLJANJE NACIONALNE SVEUČILIŠNE KNJIŽNICE - OSTALI IZVORI FINANCIRANJA</v>
      </c>
      <c r="I86" s="196">
        <v>20000</v>
      </c>
      <c r="J86" s="196">
        <v>5000</v>
      </c>
      <c r="K86" s="196">
        <v>5000</v>
      </c>
      <c r="M86" s="142" t="str">
        <f t="shared" si="15"/>
        <v>343</v>
      </c>
      <c r="N86" s="142" t="str">
        <f t="shared" si="16"/>
        <v>34</v>
      </c>
      <c r="R86" s="142">
        <v>4122</v>
      </c>
      <c r="S86" s="142" t="s">
        <v>177</v>
      </c>
      <c r="U86" s="142" t="str">
        <f t="shared" si="21"/>
        <v>41</v>
      </c>
      <c r="V86" s="142" t="str">
        <f t="shared" si="22"/>
        <v>412</v>
      </c>
      <c r="X86" t="s">
        <v>1405</v>
      </c>
      <c r="Y86" t="s">
        <v>1406</v>
      </c>
    </row>
    <row r="87" spans="1:25">
      <c r="A87" s="146" t="str">
        <f>IF(C87="","",VLOOKUP('Opći dio'!$C$3,'Opći dio'!$L$6:$U$136,10,FALSE))</f>
        <v>08091</v>
      </c>
      <c r="B87" s="146" t="str">
        <f>IF(C87="","",VLOOKUP('Opći dio'!$C$3,'Opći dio'!$L$6:$U$136,9,FALSE))</f>
        <v>Agencije</v>
      </c>
      <c r="C87" s="152">
        <v>31</v>
      </c>
      <c r="D87" s="147" t="str">
        <f t="shared" si="12"/>
        <v>Vlastiti prihodi</v>
      </c>
      <c r="E87" s="152">
        <v>3433</v>
      </c>
      <c r="F87" s="147" t="str">
        <f t="shared" si="13"/>
        <v>Zatezne kamate</v>
      </c>
      <c r="G87" s="199" t="s">
        <v>1343</v>
      </c>
      <c r="H87" s="147" t="str">
        <f t="shared" si="14"/>
        <v>ADMINISTRACIJA I UPRAVLJANJE NACIONALNE SVEUČILIŠNE KNJIŽNICE - OSTALI IZVORI FINANCIRANJA</v>
      </c>
      <c r="I87" s="196">
        <v>30000</v>
      </c>
      <c r="J87" s="196">
        <v>30000</v>
      </c>
      <c r="K87" s="196">
        <v>30000</v>
      </c>
      <c r="M87" s="142" t="str">
        <f t="shared" si="15"/>
        <v>343</v>
      </c>
      <c r="N87" s="142" t="str">
        <f t="shared" si="16"/>
        <v>34</v>
      </c>
      <c r="R87" s="142">
        <v>4123</v>
      </c>
      <c r="S87" s="142" t="s">
        <v>148</v>
      </c>
      <c r="U87" s="142" t="str">
        <f t="shared" si="21"/>
        <v>41</v>
      </c>
      <c r="V87" s="142" t="str">
        <f t="shared" si="22"/>
        <v>412</v>
      </c>
      <c r="X87" t="s">
        <v>1407</v>
      </c>
      <c r="Y87" t="s">
        <v>1408</v>
      </c>
    </row>
    <row r="88" spans="1:25">
      <c r="A88" s="146" t="str">
        <f>IF(C88="","",VLOOKUP('Opći dio'!$C$3,'Opći dio'!$L$6:$U$136,10,FALSE))</f>
        <v>08091</v>
      </c>
      <c r="B88" s="146" t="str">
        <f>IF(C88="","",VLOOKUP('Opći dio'!$C$3,'Opći dio'!$L$6:$U$136,9,FALSE))</f>
        <v>Agencije</v>
      </c>
      <c r="C88" s="152">
        <v>31</v>
      </c>
      <c r="D88" s="147" t="str">
        <f t="shared" si="12"/>
        <v>Vlastiti prihodi</v>
      </c>
      <c r="E88" s="152">
        <v>3434</v>
      </c>
      <c r="F88" s="147" t="str">
        <f t="shared" si="13"/>
        <v>Ostali nespomenuti financijski rashodi</v>
      </c>
      <c r="G88" s="199" t="s">
        <v>1343</v>
      </c>
      <c r="H88" s="147" t="str">
        <f t="shared" si="14"/>
        <v>ADMINISTRACIJA I UPRAVLJANJE NACIONALNE SVEUČILIŠNE KNJIŽNICE - OSTALI IZVORI FINANCIRANJA</v>
      </c>
      <c r="I88" s="196">
        <v>15000</v>
      </c>
      <c r="J88" s="196">
        <v>15000</v>
      </c>
      <c r="K88" s="196">
        <v>15000</v>
      </c>
      <c r="M88" s="142" t="str">
        <f t="shared" si="15"/>
        <v>343</v>
      </c>
      <c r="N88" s="142" t="str">
        <f t="shared" si="16"/>
        <v>34</v>
      </c>
      <c r="R88" s="142">
        <v>4124</v>
      </c>
      <c r="S88" s="142" t="s">
        <v>133</v>
      </c>
      <c r="U88" s="142" t="str">
        <f t="shared" si="21"/>
        <v>41</v>
      </c>
      <c r="V88" s="142" t="str">
        <f t="shared" si="22"/>
        <v>412</v>
      </c>
      <c r="X88" t="s">
        <v>1409</v>
      </c>
      <c r="Y88" t="s">
        <v>1410</v>
      </c>
    </row>
    <row r="89" spans="1:25">
      <c r="A89" s="146" t="str">
        <f>IF(C89="","",VLOOKUP('Opći dio'!$C$3,'Opći dio'!$L$6:$U$136,10,FALSE))</f>
        <v>08091</v>
      </c>
      <c r="B89" s="146" t="str">
        <f>IF(C89="","",VLOOKUP('Opći dio'!$C$3,'Opći dio'!$L$6:$U$136,9,FALSE))</f>
        <v>Agencije</v>
      </c>
      <c r="C89" s="152">
        <v>43</v>
      </c>
      <c r="D89" s="147" t="str">
        <f t="shared" si="12"/>
        <v>Ostali prihodi za posebne namjene</v>
      </c>
      <c r="E89" s="152">
        <v>3721</v>
      </c>
      <c r="F89" s="147" t="str">
        <f t="shared" si="13"/>
        <v>Naknade građanima i kućanstvima u novcu</v>
      </c>
      <c r="G89" s="199" t="s">
        <v>1343</v>
      </c>
      <c r="H89" s="147" t="str">
        <f t="shared" si="14"/>
        <v>ADMINISTRACIJA I UPRAVLJANJE NACIONALNE SVEUČILIŠNE KNJIŽNICE - OSTALI IZVORI FINANCIRANJA</v>
      </c>
      <c r="I89" s="196">
        <v>20000</v>
      </c>
      <c r="J89" s="196">
        <v>20000</v>
      </c>
      <c r="K89" s="196">
        <v>20000</v>
      </c>
      <c r="M89" s="142" t="str">
        <f t="shared" si="15"/>
        <v>372</v>
      </c>
      <c r="N89" s="142" t="str">
        <f t="shared" si="16"/>
        <v>37</v>
      </c>
      <c r="R89" s="142">
        <v>4126</v>
      </c>
      <c r="S89" s="142" t="s">
        <v>178</v>
      </c>
      <c r="U89" s="142" t="str">
        <f t="shared" si="21"/>
        <v>41</v>
      </c>
      <c r="V89" s="142" t="str">
        <f t="shared" si="22"/>
        <v>412</v>
      </c>
      <c r="X89" t="s">
        <v>1411</v>
      </c>
      <c r="Y89" t="s">
        <v>1412</v>
      </c>
    </row>
    <row r="90" spans="1:25">
      <c r="A90" s="146" t="str">
        <f>IF(C90="","",VLOOKUP('Opći dio'!$C$3,'Opći dio'!$L$6:$U$136,10,FALSE))</f>
        <v>08091</v>
      </c>
      <c r="B90" s="146" t="str">
        <f>IF(C90="","",VLOOKUP('Opći dio'!$C$3,'Opći dio'!$L$6:$U$136,9,FALSE))</f>
        <v>Agencije</v>
      </c>
      <c r="C90" s="152">
        <v>31</v>
      </c>
      <c r="D90" s="147" t="str">
        <f t="shared" si="12"/>
        <v>Vlastiti prihodi</v>
      </c>
      <c r="E90" s="152">
        <v>3831</v>
      </c>
      <c r="F90" s="147" t="str">
        <f t="shared" si="13"/>
        <v>Naknade šteta pravnim i fizičkim osobama</v>
      </c>
      <c r="G90" s="199" t="s">
        <v>1343</v>
      </c>
      <c r="H90" s="147" t="str">
        <f t="shared" si="14"/>
        <v>ADMINISTRACIJA I UPRAVLJANJE NACIONALNE SVEUČILIŠNE KNJIŽNICE - OSTALI IZVORI FINANCIRANJA</v>
      </c>
      <c r="I90" s="196">
        <v>20000</v>
      </c>
      <c r="J90" s="196">
        <v>20000</v>
      </c>
      <c r="K90" s="196">
        <v>20000</v>
      </c>
      <c r="M90" s="142" t="str">
        <f t="shared" si="15"/>
        <v>383</v>
      </c>
      <c r="N90" s="142" t="str">
        <f t="shared" si="16"/>
        <v>38</v>
      </c>
      <c r="R90" s="142">
        <v>4211</v>
      </c>
      <c r="S90" s="142" t="s">
        <v>192</v>
      </c>
      <c r="U90" s="142" t="str">
        <f t="shared" si="21"/>
        <v>42</v>
      </c>
      <c r="V90" s="142" t="str">
        <f t="shared" si="22"/>
        <v>421</v>
      </c>
      <c r="X90" t="s">
        <v>1302</v>
      </c>
      <c r="Y90" t="s">
        <v>1303</v>
      </c>
    </row>
    <row r="91" spans="1:25">
      <c r="A91" s="146" t="str">
        <f>IF(C91="","",VLOOKUP('Opći dio'!$C$3,'Opći dio'!$L$6:$U$136,10,FALSE))</f>
        <v>08091</v>
      </c>
      <c r="B91" s="146" t="str">
        <f>IF(C91="","",VLOOKUP('Opći dio'!$C$3,'Opći dio'!$L$6:$U$136,9,FALSE))</f>
        <v>Agencije</v>
      </c>
      <c r="C91" s="152">
        <v>31</v>
      </c>
      <c r="D91" s="147" t="str">
        <f t="shared" si="12"/>
        <v>Vlastiti prihodi</v>
      </c>
      <c r="E91" s="152">
        <v>4123</v>
      </c>
      <c r="F91" s="147" t="str">
        <f t="shared" si="13"/>
        <v>Licence</v>
      </c>
      <c r="G91" s="199" t="s">
        <v>1343</v>
      </c>
      <c r="H91" s="147" t="str">
        <f t="shared" si="14"/>
        <v>ADMINISTRACIJA I UPRAVLJANJE NACIONALNE SVEUČILIŠNE KNJIŽNICE - OSTALI IZVORI FINANCIRANJA</v>
      </c>
      <c r="I91" s="196">
        <v>150000</v>
      </c>
      <c r="J91" s="196">
        <v>150000</v>
      </c>
      <c r="K91" s="196">
        <v>150000</v>
      </c>
      <c r="M91" s="142" t="str">
        <f t="shared" si="15"/>
        <v>412</v>
      </c>
      <c r="N91" s="142" t="str">
        <f t="shared" si="16"/>
        <v>41</v>
      </c>
      <c r="R91" s="142">
        <v>4212</v>
      </c>
      <c r="S91" s="142" t="s">
        <v>79</v>
      </c>
      <c r="U91" s="142" t="str">
        <f t="shared" si="21"/>
        <v>42</v>
      </c>
      <c r="V91" s="142" t="str">
        <f t="shared" si="22"/>
        <v>421</v>
      </c>
      <c r="X91" t="s">
        <v>1304</v>
      </c>
      <c r="Y91" t="s">
        <v>1305</v>
      </c>
    </row>
    <row r="92" spans="1:25">
      <c r="A92" s="146" t="str">
        <f>IF(C92="","",VLOOKUP('Opći dio'!$C$3,'Opći dio'!$L$6:$U$136,10,FALSE))</f>
        <v>08091</v>
      </c>
      <c r="B92" s="146" t="str">
        <f>IF(C92="","",VLOOKUP('Opći dio'!$C$3,'Opći dio'!$L$6:$U$136,9,FALSE))</f>
        <v>Agencije</v>
      </c>
      <c r="C92" s="152">
        <v>31</v>
      </c>
      <c r="D92" s="147" t="str">
        <f t="shared" si="12"/>
        <v>Vlastiti prihodi</v>
      </c>
      <c r="E92" s="152">
        <v>4221</v>
      </c>
      <c r="F92" s="147" t="str">
        <f t="shared" si="13"/>
        <v>Uredska oprema i namještaj</v>
      </c>
      <c r="G92" s="199" t="s">
        <v>1343</v>
      </c>
      <c r="H92" s="147" t="str">
        <f t="shared" si="14"/>
        <v>ADMINISTRACIJA I UPRAVLJANJE NACIONALNE SVEUČILIŠNE KNJIŽNICE - OSTALI IZVORI FINANCIRANJA</v>
      </c>
      <c r="I92" s="196">
        <v>150000</v>
      </c>
      <c r="J92" s="196">
        <v>150000</v>
      </c>
      <c r="K92" s="196">
        <v>150000</v>
      </c>
      <c r="M92" s="142" t="str">
        <f t="shared" si="15"/>
        <v>422</v>
      </c>
      <c r="N92" s="142" t="str">
        <f t="shared" si="16"/>
        <v>42</v>
      </c>
      <c r="R92" s="142">
        <v>4213</v>
      </c>
      <c r="S92" s="142" t="s">
        <v>179</v>
      </c>
      <c r="U92" s="142" t="str">
        <f t="shared" si="21"/>
        <v>42</v>
      </c>
      <c r="V92" s="142" t="str">
        <f t="shared" si="22"/>
        <v>421</v>
      </c>
      <c r="X92" t="s">
        <v>1320</v>
      </c>
      <c r="Y92" t="s">
        <v>1321</v>
      </c>
    </row>
    <row r="93" spans="1:25">
      <c r="A93" s="146" t="str">
        <f>IF(C93="","",VLOOKUP('Opći dio'!$C$3,'Opći dio'!$L$6:$U$136,10,FALSE))</f>
        <v>08091</v>
      </c>
      <c r="B93" s="146" t="str">
        <f>IF(C93="","",VLOOKUP('Opći dio'!$C$3,'Opći dio'!$L$6:$U$136,9,FALSE))</f>
        <v>Agencije</v>
      </c>
      <c r="C93" s="152">
        <v>43</v>
      </c>
      <c r="D93" s="147" t="str">
        <f t="shared" si="12"/>
        <v>Ostali prihodi za posebne namjene</v>
      </c>
      <c r="E93" s="152">
        <v>4222</v>
      </c>
      <c r="F93" s="147" t="str">
        <f t="shared" si="13"/>
        <v>Komunikacijska oprema</v>
      </c>
      <c r="G93" s="199" t="s">
        <v>1343</v>
      </c>
      <c r="H93" s="147" t="str">
        <f t="shared" si="14"/>
        <v>ADMINISTRACIJA I UPRAVLJANJE NACIONALNE SVEUČILIŠNE KNJIŽNICE - OSTALI IZVORI FINANCIRANJA</v>
      </c>
      <c r="I93" s="196">
        <v>50000</v>
      </c>
      <c r="J93" s="196">
        <v>50000</v>
      </c>
      <c r="K93" s="196">
        <v>50000</v>
      </c>
      <c r="M93" s="142" t="str">
        <f t="shared" si="15"/>
        <v>422</v>
      </c>
      <c r="N93" s="142" t="str">
        <f t="shared" si="16"/>
        <v>42</v>
      </c>
      <c r="R93" s="142">
        <v>4214</v>
      </c>
      <c r="S93" s="142" t="s">
        <v>180</v>
      </c>
      <c r="U93" s="142" t="str">
        <f t="shared" si="21"/>
        <v>42</v>
      </c>
      <c r="V93" s="142" t="str">
        <f t="shared" si="22"/>
        <v>421</v>
      </c>
      <c r="X93" t="s">
        <v>1322</v>
      </c>
      <c r="Y93" t="s">
        <v>1323</v>
      </c>
    </row>
    <row r="94" spans="1:25">
      <c r="A94" s="146" t="str">
        <f>IF(C94="","",VLOOKUP('Opći dio'!$C$3,'Opći dio'!$L$6:$U$136,10,FALSE))</f>
        <v>08091</v>
      </c>
      <c r="B94" s="146" t="str">
        <f>IF(C94="","",VLOOKUP('Opći dio'!$C$3,'Opći dio'!$L$6:$U$136,9,FALSE))</f>
        <v>Agencije</v>
      </c>
      <c r="C94" s="152">
        <v>31</v>
      </c>
      <c r="D94" s="147" t="str">
        <f t="shared" si="12"/>
        <v>Vlastiti prihodi</v>
      </c>
      <c r="E94" s="152">
        <v>4223</v>
      </c>
      <c r="F94" s="147" t="str">
        <f t="shared" si="13"/>
        <v>Oprema za održavanje i zaštitu</v>
      </c>
      <c r="G94" s="199" t="s">
        <v>1343</v>
      </c>
      <c r="H94" s="147" t="str">
        <f t="shared" si="14"/>
        <v>ADMINISTRACIJA I UPRAVLJANJE NACIONALNE SVEUČILIŠNE KNJIŽNICE - OSTALI IZVORI FINANCIRANJA</v>
      </c>
      <c r="I94" s="196">
        <v>50000</v>
      </c>
      <c r="J94" s="196">
        <v>50000</v>
      </c>
      <c r="K94" s="196">
        <v>50000</v>
      </c>
      <c r="M94" s="142" t="str">
        <f t="shared" si="15"/>
        <v>422</v>
      </c>
      <c r="N94" s="142" t="str">
        <f t="shared" si="16"/>
        <v>42</v>
      </c>
      <c r="R94" s="142">
        <v>4221</v>
      </c>
      <c r="S94" s="142" t="s">
        <v>114</v>
      </c>
      <c r="U94" s="142" t="str">
        <f t="shared" si="21"/>
        <v>42</v>
      </c>
      <c r="V94" s="142" t="str">
        <f t="shared" si="22"/>
        <v>422</v>
      </c>
      <c r="X94" t="s">
        <v>1333</v>
      </c>
      <c r="Y94" t="s">
        <v>1334</v>
      </c>
    </row>
    <row r="95" spans="1:25">
      <c r="A95" s="146" t="str">
        <f>IF(C95="","",VLOOKUP('Opći dio'!$C$3,'Opći dio'!$L$6:$U$136,10,FALSE))</f>
        <v>08091</v>
      </c>
      <c r="B95" s="146" t="str">
        <f>IF(C95="","",VLOOKUP('Opći dio'!$C$3,'Opći dio'!$L$6:$U$136,9,FALSE))</f>
        <v>Agencije</v>
      </c>
      <c r="C95" s="152">
        <v>31</v>
      </c>
      <c r="D95" s="147" t="str">
        <f t="shared" si="12"/>
        <v>Vlastiti prihodi</v>
      </c>
      <c r="E95" s="152">
        <v>4225</v>
      </c>
      <c r="F95" s="147" t="str">
        <f t="shared" si="13"/>
        <v>Instrumenti, uređaji i strojevi</v>
      </c>
      <c r="G95" s="199" t="s">
        <v>1343</v>
      </c>
      <c r="H95" s="147" t="str">
        <f t="shared" si="14"/>
        <v>ADMINISTRACIJA I UPRAVLJANJE NACIONALNE SVEUČILIŠNE KNJIŽNICE - OSTALI IZVORI FINANCIRANJA</v>
      </c>
      <c r="I95" s="196">
        <v>20000</v>
      </c>
      <c r="J95" s="196">
        <v>20000</v>
      </c>
      <c r="K95" s="196">
        <v>20000</v>
      </c>
      <c r="M95" s="142" t="str">
        <f t="shared" si="15"/>
        <v>422</v>
      </c>
      <c r="N95" s="142" t="str">
        <f t="shared" si="16"/>
        <v>42</v>
      </c>
      <c r="R95" s="142">
        <v>4222</v>
      </c>
      <c r="S95" s="142" t="s">
        <v>125</v>
      </c>
      <c r="U95" s="142" t="str">
        <f t="shared" si="21"/>
        <v>42</v>
      </c>
      <c r="V95" s="142" t="str">
        <f t="shared" si="22"/>
        <v>422</v>
      </c>
      <c r="X95" t="s">
        <v>1413</v>
      </c>
      <c r="Y95" t="s">
        <v>1414</v>
      </c>
    </row>
    <row r="96" spans="1:25">
      <c r="A96" s="146" t="str">
        <f>IF(C96="","",VLOOKUP('Opći dio'!$C$3,'Opći dio'!$L$6:$U$136,10,FALSE))</f>
        <v>08091</v>
      </c>
      <c r="B96" s="146" t="str">
        <f>IF(C96="","",VLOOKUP('Opći dio'!$C$3,'Opći dio'!$L$6:$U$136,9,FALSE))</f>
        <v>Agencije</v>
      </c>
      <c r="C96" s="152">
        <v>31</v>
      </c>
      <c r="D96" s="147" t="str">
        <f t="shared" si="12"/>
        <v>Vlastiti prihodi</v>
      </c>
      <c r="E96" s="152">
        <v>4227</v>
      </c>
      <c r="F96" s="147" t="str">
        <f t="shared" si="13"/>
        <v>Uređaji, strojevi i oprema za ostale namjene</v>
      </c>
      <c r="G96" s="199" t="s">
        <v>1343</v>
      </c>
      <c r="H96" s="147" t="str">
        <f t="shared" si="14"/>
        <v>ADMINISTRACIJA I UPRAVLJANJE NACIONALNE SVEUČILIŠNE KNJIŽNICE - OSTALI IZVORI FINANCIRANJA</v>
      </c>
      <c r="I96" s="196">
        <v>60000</v>
      </c>
      <c r="J96" s="196">
        <v>60000</v>
      </c>
      <c r="K96" s="196">
        <v>60000</v>
      </c>
      <c r="M96" s="142" t="str">
        <f t="shared" si="15"/>
        <v>422</v>
      </c>
      <c r="N96" s="142" t="str">
        <f t="shared" si="16"/>
        <v>42</v>
      </c>
      <c r="R96" s="142">
        <v>4223</v>
      </c>
      <c r="S96" s="142" t="s">
        <v>138</v>
      </c>
      <c r="U96" s="142" t="str">
        <f t="shared" si="21"/>
        <v>42</v>
      </c>
      <c r="V96" s="142" t="str">
        <f t="shared" si="22"/>
        <v>422</v>
      </c>
      <c r="X96" t="s">
        <v>1329</v>
      </c>
      <c r="Y96" t="s">
        <v>1330</v>
      </c>
    </row>
    <row r="97" spans="1:25">
      <c r="A97" s="146" t="str">
        <f>IF(C97="","",VLOOKUP('Opći dio'!$C$3,'Opći dio'!$L$6:$U$136,10,FALSE))</f>
        <v>08091</v>
      </c>
      <c r="B97" s="146" t="str">
        <f>IF(C97="","",VLOOKUP('Opći dio'!$C$3,'Opći dio'!$L$6:$U$136,9,FALSE))</f>
        <v>Agencije</v>
      </c>
      <c r="C97" s="152">
        <v>31</v>
      </c>
      <c r="D97" s="147" t="str">
        <f t="shared" si="12"/>
        <v>Vlastiti prihodi</v>
      </c>
      <c r="E97" s="152">
        <v>4262</v>
      </c>
      <c r="F97" s="147" t="str">
        <f t="shared" si="13"/>
        <v>Ulaganja u računalne programe</v>
      </c>
      <c r="G97" s="199" t="s">
        <v>1343</v>
      </c>
      <c r="H97" s="147" t="str">
        <f t="shared" si="14"/>
        <v>ADMINISTRACIJA I UPRAVLJANJE NACIONALNE SVEUČILIŠNE KNJIŽNICE - OSTALI IZVORI FINANCIRANJA</v>
      </c>
      <c r="I97" s="196">
        <v>25000</v>
      </c>
      <c r="J97" s="196">
        <v>25000</v>
      </c>
      <c r="K97" s="196">
        <v>25000</v>
      </c>
      <c r="M97" s="142" t="str">
        <f t="shared" si="15"/>
        <v>426</v>
      </c>
      <c r="N97" s="142" t="str">
        <f t="shared" si="16"/>
        <v>42</v>
      </c>
      <c r="R97" s="142">
        <v>4224</v>
      </c>
      <c r="S97" s="142" t="s">
        <v>131</v>
      </c>
      <c r="U97" s="142" t="str">
        <f t="shared" si="21"/>
        <v>42</v>
      </c>
      <c r="V97" s="142" t="str">
        <f t="shared" si="22"/>
        <v>422</v>
      </c>
      <c r="X97" t="s">
        <v>1324</v>
      </c>
      <c r="Y97" t="s">
        <v>1325</v>
      </c>
    </row>
    <row r="98" spans="1:25">
      <c r="A98" s="146" t="str">
        <f>IF(C98="","",VLOOKUP('Opći dio'!$C$3,'Opći dio'!$L$6:$U$136,10,FALSE))</f>
        <v>08091</v>
      </c>
      <c r="B98" s="146" t="str">
        <f>IF(C98="","",VLOOKUP('Opći dio'!$C$3,'Opći dio'!$L$6:$U$136,9,FALSE))</f>
        <v>Agencije</v>
      </c>
      <c r="C98" s="152">
        <v>52</v>
      </c>
      <c r="D98" s="147" t="str">
        <f t="shared" si="12"/>
        <v>Ostale pomoći</v>
      </c>
      <c r="E98" s="152">
        <v>3211</v>
      </c>
      <c r="F98" s="147" t="str">
        <f t="shared" si="13"/>
        <v>Službena putovanja</v>
      </c>
      <c r="G98" s="199" t="s">
        <v>1343</v>
      </c>
      <c r="H98" s="147" t="str">
        <f t="shared" si="14"/>
        <v>ADMINISTRACIJA I UPRAVLJANJE NACIONALNE SVEUČILIŠNE KNJIŽNICE - OSTALI IZVORI FINANCIRANJA</v>
      </c>
      <c r="I98" s="196">
        <v>76750</v>
      </c>
      <c r="J98" s="196"/>
      <c r="K98" s="196"/>
      <c r="M98" s="142" t="str">
        <f t="shared" si="15"/>
        <v>321</v>
      </c>
      <c r="N98" s="142" t="str">
        <f t="shared" si="16"/>
        <v>32</v>
      </c>
      <c r="R98" s="142">
        <v>4225</v>
      </c>
      <c r="S98" s="142" t="s">
        <v>135</v>
      </c>
      <c r="U98" s="142" t="str">
        <f t="shared" si="21"/>
        <v>42</v>
      </c>
      <c r="V98" s="142" t="str">
        <f t="shared" si="22"/>
        <v>422</v>
      </c>
      <c r="X98" t="s">
        <v>1306</v>
      </c>
      <c r="Y98" t="s">
        <v>1307</v>
      </c>
    </row>
    <row r="99" spans="1:25">
      <c r="A99" s="146" t="str">
        <f>IF(C99="","",VLOOKUP('Opći dio'!$C$3,'Opći dio'!$L$6:$U$136,10,FALSE))</f>
        <v>08091</v>
      </c>
      <c r="B99" s="146" t="str">
        <f>IF(C99="","",VLOOKUP('Opći dio'!$C$3,'Opći dio'!$L$6:$U$136,9,FALSE))</f>
        <v>Agencije</v>
      </c>
      <c r="C99" s="152">
        <v>52</v>
      </c>
      <c r="D99" s="147" t="str">
        <f t="shared" si="12"/>
        <v>Ostale pomoći</v>
      </c>
      <c r="E99" s="152">
        <v>3221</v>
      </c>
      <c r="F99" s="147" t="str">
        <f t="shared" si="13"/>
        <v>Uredski materijal i ostali materijalni rashodi</v>
      </c>
      <c r="G99" s="199" t="s">
        <v>1343</v>
      </c>
      <c r="H99" s="147" t="str">
        <f t="shared" si="14"/>
        <v>ADMINISTRACIJA I UPRAVLJANJE NACIONALNE SVEUČILIŠNE KNJIŽNICE - OSTALI IZVORI FINANCIRANJA</v>
      </c>
      <c r="I99" s="196">
        <v>5000</v>
      </c>
      <c r="J99" s="196"/>
      <c r="K99" s="196"/>
      <c r="M99" s="142" t="str">
        <f t="shared" si="15"/>
        <v>322</v>
      </c>
      <c r="N99" s="142" t="str">
        <f t="shared" si="16"/>
        <v>32</v>
      </c>
      <c r="R99" s="142">
        <v>4226</v>
      </c>
      <c r="S99" s="142" t="s">
        <v>181</v>
      </c>
      <c r="U99" s="142" t="str">
        <f t="shared" si="21"/>
        <v>42</v>
      </c>
      <c r="V99" s="142" t="str">
        <f t="shared" si="22"/>
        <v>422</v>
      </c>
      <c r="X99" t="s">
        <v>1460</v>
      </c>
      <c r="Y99" t="s">
        <v>1461</v>
      </c>
    </row>
    <row r="100" spans="1:25">
      <c r="A100" s="146" t="str">
        <f>IF(C100="","",VLOOKUP('Opći dio'!$C$3,'Opći dio'!$L$6:$U$136,10,FALSE))</f>
        <v>08091</v>
      </c>
      <c r="B100" s="146" t="str">
        <f>IF(C100="","",VLOOKUP('Opći dio'!$C$3,'Opći dio'!$L$6:$U$136,9,FALSE))</f>
        <v>Agencije</v>
      </c>
      <c r="C100" s="152">
        <v>52</v>
      </c>
      <c r="D100" s="147" t="str">
        <f t="shared" si="12"/>
        <v>Ostale pomoći</v>
      </c>
      <c r="E100" s="152">
        <v>3233</v>
      </c>
      <c r="F100" s="147" t="str">
        <f t="shared" si="13"/>
        <v>Usluge promidžbe i informiranja</v>
      </c>
      <c r="G100" s="199" t="s">
        <v>1343</v>
      </c>
      <c r="H100" s="147" t="str">
        <f t="shared" si="14"/>
        <v>ADMINISTRACIJA I UPRAVLJANJE NACIONALNE SVEUČILIŠNE KNJIŽNICE - OSTALI IZVORI FINANCIRANJA</v>
      </c>
      <c r="I100" s="196">
        <v>10000</v>
      </c>
      <c r="J100" s="196"/>
      <c r="K100" s="196"/>
      <c r="M100" s="142" t="str">
        <f t="shared" si="15"/>
        <v>323</v>
      </c>
      <c r="N100" s="142" t="str">
        <f t="shared" si="16"/>
        <v>32</v>
      </c>
      <c r="R100" s="142">
        <v>4227</v>
      </c>
      <c r="S100" s="142" t="s">
        <v>149</v>
      </c>
      <c r="U100" s="142" t="str">
        <f t="shared" si="21"/>
        <v>42</v>
      </c>
      <c r="V100" s="142" t="str">
        <f t="shared" si="22"/>
        <v>422</v>
      </c>
      <c r="X100" t="s">
        <v>1462</v>
      </c>
      <c r="Y100" t="s">
        <v>1463</v>
      </c>
    </row>
    <row r="101" spans="1:25">
      <c r="A101" s="146" t="str">
        <f>IF(C101="","",VLOOKUP('Opći dio'!$C$3,'Opći dio'!$L$6:$U$136,10,FALSE))</f>
        <v>08091</v>
      </c>
      <c r="B101" s="146" t="str">
        <f>IF(C101="","",VLOOKUP('Opći dio'!$C$3,'Opći dio'!$L$6:$U$136,9,FALSE))</f>
        <v>Agencije</v>
      </c>
      <c r="C101" s="152">
        <v>52</v>
      </c>
      <c r="D101" s="147" t="str">
        <f t="shared" si="12"/>
        <v>Ostale pomoći</v>
      </c>
      <c r="E101" s="152">
        <v>3237</v>
      </c>
      <c r="F101" s="147" t="str">
        <f t="shared" si="13"/>
        <v>Intelektualne i osobne usluge</v>
      </c>
      <c r="G101" s="199" t="s">
        <v>1343</v>
      </c>
      <c r="H101" s="147" t="str">
        <f t="shared" si="14"/>
        <v>ADMINISTRACIJA I UPRAVLJANJE NACIONALNE SVEUČILIŠNE KNJIŽNICE - OSTALI IZVORI FINANCIRANJA</v>
      </c>
      <c r="I101" s="196">
        <v>10000</v>
      </c>
      <c r="J101" s="196"/>
      <c r="K101" s="196"/>
      <c r="M101" s="142" t="str">
        <f t="shared" si="15"/>
        <v>323</v>
      </c>
      <c r="N101" s="142" t="str">
        <f t="shared" si="16"/>
        <v>32</v>
      </c>
      <c r="R101" s="142">
        <v>4231</v>
      </c>
      <c r="S101" s="142" t="s">
        <v>182</v>
      </c>
      <c r="U101" s="142" t="str">
        <f t="shared" si="21"/>
        <v>42</v>
      </c>
      <c r="V101" s="142" t="str">
        <f t="shared" si="22"/>
        <v>423</v>
      </c>
      <c r="X101" t="s">
        <v>1464</v>
      </c>
      <c r="Y101" t="s">
        <v>1465</v>
      </c>
    </row>
    <row r="102" spans="1:25">
      <c r="A102" s="146" t="str">
        <f>IF(C102="","",VLOOKUP('Opći dio'!$C$3,'Opći dio'!$L$6:$U$136,10,FALSE))</f>
        <v>08091</v>
      </c>
      <c r="B102" s="146" t="str">
        <f>IF(C102="","",VLOOKUP('Opći dio'!$C$3,'Opći dio'!$L$6:$U$136,9,FALSE))</f>
        <v>Agencije</v>
      </c>
      <c r="C102" s="152">
        <v>52</v>
      </c>
      <c r="D102" s="147" t="str">
        <f t="shared" si="12"/>
        <v>Ostale pomoći</v>
      </c>
      <c r="E102" s="152">
        <v>3238</v>
      </c>
      <c r="F102" s="147" t="str">
        <f t="shared" si="13"/>
        <v>Računalne usluge</v>
      </c>
      <c r="G102" s="199" t="s">
        <v>1343</v>
      </c>
      <c r="H102" s="147" t="str">
        <f t="shared" si="14"/>
        <v>ADMINISTRACIJA I UPRAVLJANJE NACIONALNE SVEUČILIŠNE KNJIŽNICE - OSTALI IZVORI FINANCIRANJA</v>
      </c>
      <c r="I102" s="196">
        <v>7000</v>
      </c>
      <c r="J102" s="196"/>
      <c r="K102" s="196"/>
      <c r="M102" s="142" t="str">
        <f t="shared" si="15"/>
        <v>323</v>
      </c>
      <c r="N102" s="142" t="str">
        <f t="shared" si="16"/>
        <v>32</v>
      </c>
      <c r="R102" s="142">
        <v>4233</v>
      </c>
      <c r="S102" s="142" t="s">
        <v>190</v>
      </c>
      <c r="U102" s="142" t="str">
        <f t="shared" ref="U102:U129" si="23">LEFT(R102,2)</f>
        <v>42</v>
      </c>
      <c r="V102" s="142" t="str">
        <f t="shared" si="22"/>
        <v>423</v>
      </c>
      <c r="X102" t="s">
        <v>1466</v>
      </c>
      <c r="Y102" t="s">
        <v>1467</v>
      </c>
    </row>
    <row r="103" spans="1:25">
      <c r="A103" s="146" t="str">
        <f>IF(C103="","",VLOOKUP('Opći dio'!$C$3,'Opći dio'!$L$6:$U$136,10,FALSE))</f>
        <v>08091</v>
      </c>
      <c r="B103" s="146" t="str">
        <f>IF(C103="","",VLOOKUP('Opći dio'!$C$3,'Opći dio'!$L$6:$U$136,9,FALSE))</f>
        <v>Agencije</v>
      </c>
      <c r="C103" s="152">
        <v>52</v>
      </c>
      <c r="D103" s="147" t="str">
        <f t="shared" si="12"/>
        <v>Ostale pomoći</v>
      </c>
      <c r="E103" s="152">
        <v>3293</v>
      </c>
      <c r="F103" s="147" t="str">
        <f t="shared" si="13"/>
        <v>Reprezentacija</v>
      </c>
      <c r="G103" s="199" t="s">
        <v>1343</v>
      </c>
      <c r="H103" s="147" t="str">
        <f t="shared" si="14"/>
        <v>ADMINISTRACIJA I UPRAVLJANJE NACIONALNE SVEUČILIŠNE KNJIŽNICE - OSTALI IZVORI FINANCIRANJA</v>
      </c>
      <c r="I103" s="196">
        <v>10000</v>
      </c>
      <c r="J103" s="196"/>
      <c r="K103" s="196"/>
      <c r="M103" s="142" t="str">
        <f t="shared" si="15"/>
        <v>329</v>
      </c>
      <c r="N103" s="142" t="str">
        <f t="shared" si="16"/>
        <v>32</v>
      </c>
      <c r="R103" s="142">
        <v>4241</v>
      </c>
      <c r="S103" s="142" t="s">
        <v>126</v>
      </c>
      <c r="U103" s="142" t="str">
        <f t="shared" si="23"/>
        <v>42</v>
      </c>
      <c r="V103" s="142" t="str">
        <f t="shared" si="22"/>
        <v>424</v>
      </c>
      <c r="X103" t="s">
        <v>1468</v>
      </c>
      <c r="Y103" t="s">
        <v>1469</v>
      </c>
    </row>
    <row r="104" spans="1:25">
      <c r="A104" s="146" t="str">
        <f>IF(C104="","",VLOOKUP('Opći dio'!$C$3,'Opći dio'!$L$6:$U$136,10,FALSE))</f>
        <v>08091</v>
      </c>
      <c r="B104" s="146" t="str">
        <f>IF(C104="","",VLOOKUP('Opći dio'!$C$3,'Opći dio'!$L$6:$U$136,9,FALSE))</f>
        <v>Agencije</v>
      </c>
      <c r="C104" s="152">
        <v>52</v>
      </c>
      <c r="D104" s="147" t="str">
        <f t="shared" si="12"/>
        <v>Ostale pomoći</v>
      </c>
      <c r="E104" s="152">
        <v>4221</v>
      </c>
      <c r="F104" s="147" t="str">
        <f t="shared" si="13"/>
        <v>Uredska oprema i namještaj</v>
      </c>
      <c r="G104" s="199" t="s">
        <v>1343</v>
      </c>
      <c r="H104" s="147" t="str">
        <f t="shared" si="14"/>
        <v>ADMINISTRACIJA I UPRAVLJANJE NACIONALNE SVEUČILIŠNE KNJIŽNICE - OSTALI IZVORI FINANCIRANJA</v>
      </c>
      <c r="I104" s="196">
        <v>20000</v>
      </c>
      <c r="J104" s="196"/>
      <c r="K104" s="196"/>
      <c r="M104" s="142" t="str">
        <f t="shared" si="15"/>
        <v>422</v>
      </c>
      <c r="N104" s="142" t="str">
        <f t="shared" si="16"/>
        <v>42</v>
      </c>
      <c r="R104" s="142">
        <v>4242</v>
      </c>
      <c r="S104" s="142" t="s">
        <v>159</v>
      </c>
      <c r="U104" s="142" t="str">
        <f t="shared" si="23"/>
        <v>42</v>
      </c>
      <c r="V104" s="142" t="str">
        <f t="shared" si="22"/>
        <v>424</v>
      </c>
      <c r="X104" t="s">
        <v>1470</v>
      </c>
      <c r="Y104" t="s">
        <v>1471</v>
      </c>
    </row>
    <row r="105" spans="1:25">
      <c r="A105" s="146" t="str">
        <f>IF(C105="","",VLOOKUP('Opći dio'!$C$3,'Opći dio'!$L$6:$U$136,10,FALSE))</f>
        <v>08091</v>
      </c>
      <c r="B105" s="146" t="str">
        <f>IF(C105="","",VLOOKUP('Opći dio'!$C$3,'Opći dio'!$L$6:$U$136,9,FALSE))</f>
        <v>Agencije</v>
      </c>
      <c r="C105" s="152">
        <v>52</v>
      </c>
      <c r="D105" s="147" t="str">
        <f t="shared" si="12"/>
        <v>Ostale pomoći</v>
      </c>
      <c r="E105" s="152">
        <v>4511</v>
      </c>
      <c r="F105" s="147" t="str">
        <f t="shared" si="13"/>
        <v>Dodatna ulaganja na građevinskim objektima</v>
      </c>
      <c r="G105" s="199" t="s">
        <v>1343</v>
      </c>
      <c r="H105" s="147" t="str">
        <f t="shared" si="14"/>
        <v>ADMINISTRACIJA I UPRAVLJANJE NACIONALNE SVEUČILIŠNE KNJIŽNICE - OSTALI IZVORI FINANCIRANJA</v>
      </c>
      <c r="I105" s="196">
        <v>3544361</v>
      </c>
      <c r="J105" s="196">
        <v>20313</v>
      </c>
      <c r="K105" s="196"/>
      <c r="M105" s="142" t="str">
        <f t="shared" si="15"/>
        <v>451</v>
      </c>
      <c r="N105" s="142" t="str">
        <f t="shared" si="16"/>
        <v>45</v>
      </c>
      <c r="R105" s="142">
        <v>4244</v>
      </c>
      <c r="S105" s="142" t="s">
        <v>191</v>
      </c>
      <c r="U105" s="142" t="str">
        <f t="shared" si="23"/>
        <v>42</v>
      </c>
      <c r="V105" s="142" t="str">
        <f t="shared" si="22"/>
        <v>424</v>
      </c>
      <c r="X105" t="s">
        <v>1484</v>
      </c>
      <c r="Y105" t="s">
        <v>1485</v>
      </c>
    </row>
    <row r="106" spans="1:25">
      <c r="A106" s="146" t="str">
        <f>IF(C106="","",VLOOKUP('Opći dio'!$C$3,'Opći dio'!$L$6:$U$136,10,FALSE))</f>
        <v>08091</v>
      </c>
      <c r="B106" s="146" t="str">
        <f>IF(C106="","",VLOOKUP('Opći dio'!$C$3,'Opći dio'!$L$6:$U$136,9,FALSE))</f>
        <v>Agencije</v>
      </c>
      <c r="C106" s="152">
        <v>11</v>
      </c>
      <c r="D106" s="147" t="str">
        <f t="shared" si="12"/>
        <v>Opći prihodi i primici</v>
      </c>
      <c r="E106" s="152">
        <v>3111</v>
      </c>
      <c r="F106" s="147" t="str">
        <f t="shared" si="13"/>
        <v>Plaće za redovan rad</v>
      </c>
      <c r="G106" s="199" t="s">
        <v>1339</v>
      </c>
      <c r="H106" s="147" t="str">
        <f t="shared" si="14"/>
        <v>ADMINISTRACIJA I UPRAVLJANJE NACIONALNE SVEUČILIŠNE KNJIŽNICE</v>
      </c>
      <c r="I106" s="196">
        <v>32439315</v>
      </c>
      <c r="J106" s="196">
        <f>32439315+1537308</f>
        <v>33976623</v>
      </c>
      <c r="K106" s="196">
        <f>1635855+32439315</f>
        <v>34075170</v>
      </c>
      <c r="M106" s="142" t="str">
        <f t="shared" si="15"/>
        <v>311</v>
      </c>
      <c r="N106" s="142" t="str">
        <f t="shared" si="16"/>
        <v>31</v>
      </c>
      <c r="R106" s="142">
        <v>4251</v>
      </c>
      <c r="S106" s="142" t="s">
        <v>183</v>
      </c>
      <c r="U106" s="142" t="str">
        <f t="shared" si="23"/>
        <v>42</v>
      </c>
      <c r="V106" s="142" t="str">
        <f t="shared" si="22"/>
        <v>425</v>
      </c>
      <c r="X106" t="s">
        <v>1486</v>
      </c>
      <c r="Y106" t="s">
        <v>1487</v>
      </c>
    </row>
    <row r="107" spans="1:25">
      <c r="A107" s="146" t="str">
        <f>IF(C107="","",VLOOKUP('Opći dio'!$C$3,'Opći dio'!$L$6:$U$136,10,FALSE))</f>
        <v>08091</v>
      </c>
      <c r="B107" s="146" t="str">
        <f>IF(C107="","",VLOOKUP('Opći dio'!$C$3,'Opći dio'!$L$6:$U$136,9,FALSE))</f>
        <v>Agencije</v>
      </c>
      <c r="C107" s="152">
        <v>11</v>
      </c>
      <c r="D107" s="147" t="str">
        <f t="shared" si="12"/>
        <v>Opći prihodi i primici</v>
      </c>
      <c r="E107" s="152">
        <v>3121</v>
      </c>
      <c r="F107" s="147" t="str">
        <f t="shared" si="13"/>
        <v>Ostali rashodi za zaposlene</v>
      </c>
      <c r="G107" s="199" t="s">
        <v>1339</v>
      </c>
      <c r="H107" s="147" t="str">
        <f t="shared" si="14"/>
        <v>ADMINISTRACIJA I UPRAVLJANJE NACIONALNE SVEUČILIŠNE KNJIŽNICE</v>
      </c>
      <c r="I107" s="196">
        <v>1316065</v>
      </c>
      <c r="J107" s="196">
        <v>1316065</v>
      </c>
      <c r="K107" s="196">
        <v>1316065</v>
      </c>
      <c r="M107" s="142" t="str">
        <f t="shared" si="15"/>
        <v>312</v>
      </c>
      <c r="N107" s="142" t="str">
        <f t="shared" si="16"/>
        <v>31</v>
      </c>
      <c r="R107" s="142">
        <v>4252</v>
      </c>
      <c r="S107" s="142" t="s">
        <v>184</v>
      </c>
      <c r="U107" s="142" t="str">
        <f t="shared" si="23"/>
        <v>42</v>
      </c>
      <c r="V107" s="142" t="str">
        <f t="shared" si="22"/>
        <v>425</v>
      </c>
      <c r="X107" t="s">
        <v>1488</v>
      </c>
      <c r="Y107" t="s">
        <v>1489</v>
      </c>
    </row>
    <row r="108" spans="1:25">
      <c r="A108" s="146" t="str">
        <f>IF(C108="","",VLOOKUP('Opći dio'!$C$3,'Opći dio'!$L$6:$U$136,10,FALSE))</f>
        <v>08091</v>
      </c>
      <c r="B108" s="146" t="str">
        <f>IF(C108="","",VLOOKUP('Opći dio'!$C$3,'Opći dio'!$L$6:$U$136,9,FALSE))</f>
        <v>Agencije</v>
      </c>
      <c r="C108" s="152">
        <v>11</v>
      </c>
      <c r="D108" s="147" t="str">
        <f t="shared" si="12"/>
        <v>Opći prihodi i primici</v>
      </c>
      <c r="E108" s="152">
        <v>3132</v>
      </c>
      <c r="F108" s="147" t="str">
        <f t="shared" si="13"/>
        <v>Doprinosi za obvezno zdravstveno osiguranje</v>
      </c>
      <c r="G108" s="199" t="s">
        <v>1339</v>
      </c>
      <c r="H108" s="147" t="str">
        <f t="shared" si="14"/>
        <v>ADMINISTRACIJA I UPRAVLJANJE NACIONALNE SVEUČILIŠNE KNJIŽNICE</v>
      </c>
      <c r="I108" s="196">
        <v>4973844</v>
      </c>
      <c r="J108" s="196">
        <v>4973844</v>
      </c>
      <c r="K108" s="196">
        <v>4973844</v>
      </c>
      <c r="M108" s="142" t="str">
        <f t="shared" si="15"/>
        <v>313</v>
      </c>
      <c r="N108" s="142" t="str">
        <f t="shared" si="16"/>
        <v>31</v>
      </c>
      <c r="R108" s="142">
        <v>4262</v>
      </c>
      <c r="S108" s="142" t="s">
        <v>127</v>
      </c>
      <c r="U108" s="142" t="str">
        <f t="shared" si="23"/>
        <v>42</v>
      </c>
      <c r="V108" s="142" t="str">
        <f t="shared" si="22"/>
        <v>426</v>
      </c>
      <c r="X108" t="s">
        <v>1490</v>
      </c>
      <c r="Y108" t="s">
        <v>1491</v>
      </c>
    </row>
    <row r="109" spans="1:25">
      <c r="A109" s="146" t="str">
        <f>IF(C109="","",VLOOKUP('Opći dio'!$C$3,'Opći dio'!$L$6:$U$136,10,FALSE))</f>
        <v>08091</v>
      </c>
      <c r="B109" s="146" t="str">
        <f>IF(C109="","",VLOOKUP('Opći dio'!$C$3,'Opći dio'!$L$6:$U$136,9,FALSE))</f>
        <v>Agencije</v>
      </c>
      <c r="C109" s="152">
        <v>11</v>
      </c>
      <c r="D109" s="147" t="str">
        <f t="shared" si="12"/>
        <v>Opći prihodi i primici</v>
      </c>
      <c r="E109" s="152">
        <v>3212</v>
      </c>
      <c r="F109" s="147" t="str">
        <f t="shared" si="13"/>
        <v>Naknade za prijevoz, za rad na terenu i odvojeni život</v>
      </c>
      <c r="G109" s="199" t="s">
        <v>1339</v>
      </c>
      <c r="H109" s="147" t="str">
        <f t="shared" si="14"/>
        <v>ADMINISTRACIJA I UPRAVLJANJE NACIONALNE SVEUČILIŠNE KNJIŽNICE</v>
      </c>
      <c r="I109" s="196">
        <f>1490000-125000</f>
        <v>1365000</v>
      </c>
      <c r="J109" s="196">
        <f>1490000-125000</f>
        <v>1365000</v>
      </c>
      <c r="K109" s="196">
        <f>1490000-125000</f>
        <v>1365000</v>
      </c>
      <c r="M109" s="142" t="str">
        <f t="shared" si="15"/>
        <v>321</v>
      </c>
      <c r="N109" s="142" t="str">
        <f t="shared" si="16"/>
        <v>32</v>
      </c>
      <c r="R109" s="142">
        <v>4263</v>
      </c>
      <c r="S109" s="142" t="s">
        <v>185</v>
      </c>
      <c r="U109" s="142" t="str">
        <f t="shared" si="23"/>
        <v>42</v>
      </c>
      <c r="V109" s="142" t="str">
        <f t="shared" si="22"/>
        <v>426</v>
      </c>
      <c r="X109" t="s">
        <v>1492</v>
      </c>
      <c r="Y109" t="s">
        <v>1493</v>
      </c>
    </row>
    <row r="110" spans="1:25">
      <c r="A110" s="146" t="str">
        <f>IF(C110="","",VLOOKUP('Opći dio'!$C$3,'Opći dio'!$L$6:$U$136,10,FALSE))</f>
        <v>08091</v>
      </c>
      <c r="B110" s="146" t="str">
        <f>IF(C110="","",VLOOKUP('Opći dio'!$C$3,'Opći dio'!$L$6:$U$136,9,FALSE))</f>
        <v>Agencije</v>
      </c>
      <c r="C110" s="152">
        <v>43</v>
      </c>
      <c r="D110" s="147" t="str">
        <f t="shared" si="12"/>
        <v>Ostali prihodi za posebne namjene</v>
      </c>
      <c r="E110" s="152">
        <v>4221</v>
      </c>
      <c r="F110" s="147" t="str">
        <f t="shared" si="13"/>
        <v>Uredska oprema i namještaj</v>
      </c>
      <c r="G110" s="199" t="s">
        <v>1343</v>
      </c>
      <c r="H110" s="147" t="str">
        <f t="shared" si="14"/>
        <v>ADMINISTRACIJA I UPRAVLJANJE NACIONALNE SVEUČILIŠNE KNJIŽNICE - OSTALI IZVORI FINANCIRANJA</v>
      </c>
      <c r="I110" s="196">
        <v>200000</v>
      </c>
      <c r="J110" s="196">
        <v>200000</v>
      </c>
      <c r="K110" s="196">
        <v>200000</v>
      </c>
      <c r="M110" s="142" t="str">
        <f t="shared" si="15"/>
        <v>422</v>
      </c>
      <c r="N110" s="142" t="str">
        <f t="shared" si="16"/>
        <v>42</v>
      </c>
      <c r="R110" s="142">
        <v>4264</v>
      </c>
      <c r="S110" s="142" t="s">
        <v>139</v>
      </c>
      <c r="U110" s="142" t="str">
        <f t="shared" si="23"/>
        <v>42</v>
      </c>
      <c r="V110" s="142" t="str">
        <f t="shared" si="22"/>
        <v>426</v>
      </c>
      <c r="X110" t="s">
        <v>1494</v>
      </c>
      <c r="Y110" t="s">
        <v>1495</v>
      </c>
    </row>
    <row r="111" spans="1:25">
      <c r="A111" s="146" t="str">
        <f>IF(C111="","",VLOOKUP('Opći dio'!$C$3,'Opći dio'!$L$6:$U$136,10,FALSE))</f>
        <v>08091</v>
      </c>
      <c r="B111" s="146" t="str">
        <f>IF(C111="","",VLOOKUP('Opći dio'!$C$3,'Opći dio'!$L$6:$U$136,9,FALSE))</f>
        <v>Agencije</v>
      </c>
      <c r="C111" s="152">
        <v>61</v>
      </c>
      <c r="D111" s="147" t="str">
        <f t="shared" si="12"/>
        <v>Donacije</v>
      </c>
      <c r="E111" s="152">
        <v>4241</v>
      </c>
      <c r="F111" s="147" t="str">
        <f t="shared" si="13"/>
        <v>Knjige</v>
      </c>
      <c r="G111" s="199" t="s">
        <v>1343</v>
      </c>
      <c r="H111" s="147" t="str">
        <f t="shared" si="14"/>
        <v>ADMINISTRACIJA I UPRAVLJANJE NACIONALNE SVEUČILIŠNE KNJIŽNICE - OSTALI IZVORI FINANCIRANJA</v>
      </c>
      <c r="I111" s="196">
        <v>5000000</v>
      </c>
      <c r="J111" s="196">
        <v>5000000</v>
      </c>
      <c r="K111" s="196">
        <v>5000000</v>
      </c>
      <c r="M111" s="142" t="str">
        <f t="shared" si="15"/>
        <v>424</v>
      </c>
      <c r="N111" s="142" t="str">
        <f t="shared" si="16"/>
        <v>42</v>
      </c>
      <c r="R111" s="142">
        <v>4312</v>
      </c>
      <c r="S111" s="142" t="s">
        <v>141</v>
      </c>
      <c r="U111" s="142" t="str">
        <f t="shared" si="23"/>
        <v>43</v>
      </c>
      <c r="V111" s="142" t="str">
        <f t="shared" si="22"/>
        <v>431</v>
      </c>
      <c r="X111" t="s">
        <v>1496</v>
      </c>
      <c r="Y111" t="s">
        <v>1497</v>
      </c>
    </row>
    <row r="112" spans="1:25">
      <c r="A112" s="146" t="str">
        <f>IF(C112="","",VLOOKUP('Opći dio'!$C$3,'Opći dio'!$L$6:$U$136,10,FALSE))</f>
        <v>08091</v>
      </c>
      <c r="B112" s="146" t="str">
        <f>IF(C112="","",VLOOKUP('Opći dio'!$C$3,'Opći dio'!$L$6:$U$136,9,FALSE))</f>
        <v>Agencije</v>
      </c>
      <c r="C112" s="152">
        <v>11</v>
      </c>
      <c r="D112" s="147" t="str">
        <f t="shared" si="12"/>
        <v>Opći prihodi i primici</v>
      </c>
      <c r="E112" s="152">
        <v>4541</v>
      </c>
      <c r="F112" s="147" t="str">
        <f t="shared" si="13"/>
        <v>Dodatna ulaganja za ostalu nefinancijsku imovinu</v>
      </c>
      <c r="G112" s="199" t="s">
        <v>1339</v>
      </c>
      <c r="H112" s="147" t="str">
        <f t="shared" si="14"/>
        <v>ADMINISTRACIJA I UPRAVLJANJE NACIONALNE SVEUČILIŠNE KNJIŽNICE</v>
      </c>
      <c r="I112" s="196">
        <v>1125097</v>
      </c>
      <c r="J112" s="196"/>
      <c r="K112" s="196"/>
      <c r="M112" s="142" t="str">
        <f t="shared" si="15"/>
        <v>454</v>
      </c>
      <c r="N112" s="142" t="str">
        <f t="shared" si="16"/>
        <v>45</v>
      </c>
      <c r="R112" s="142">
        <v>4411</v>
      </c>
      <c r="S112" s="142" t="s">
        <v>186</v>
      </c>
      <c r="U112" s="142" t="str">
        <f t="shared" si="23"/>
        <v>44</v>
      </c>
      <c r="V112" s="142" t="str">
        <f t="shared" si="22"/>
        <v>441</v>
      </c>
      <c r="X112" t="s">
        <v>1498</v>
      </c>
      <c r="Y112" t="s">
        <v>1499</v>
      </c>
    </row>
    <row r="113" spans="1:25">
      <c r="A113" s="146" t="str">
        <f>IF(C113="","",VLOOKUP('Opći dio'!$C$3,'Opći dio'!$L$6:$U$136,10,FALSE))</f>
        <v>08091</v>
      </c>
      <c r="B113" s="146" t="str">
        <f>IF(C113="","",VLOOKUP('Opći dio'!$C$3,'Opći dio'!$L$6:$U$136,9,FALSE))</f>
        <v>Agencije</v>
      </c>
      <c r="C113" s="152">
        <v>31</v>
      </c>
      <c r="D113" s="147" t="str">
        <f t="shared" si="12"/>
        <v>Vlastiti prihodi</v>
      </c>
      <c r="E113" s="152">
        <v>4262</v>
      </c>
      <c r="F113" s="147" t="str">
        <f t="shared" si="13"/>
        <v>Ulaganja u računalne programe</v>
      </c>
      <c r="G113" s="199" t="s">
        <v>1343</v>
      </c>
      <c r="H113" s="147" t="str">
        <f t="shared" si="14"/>
        <v>ADMINISTRACIJA I UPRAVLJANJE NACIONALNE SVEUČILIŠNE KNJIŽNICE - OSTALI IZVORI FINANCIRANJA</v>
      </c>
      <c r="I113" s="196">
        <v>50000</v>
      </c>
      <c r="J113" s="196">
        <v>50000</v>
      </c>
      <c r="K113" s="196">
        <v>50000</v>
      </c>
      <c r="M113" s="142" t="str">
        <f t="shared" si="15"/>
        <v>426</v>
      </c>
      <c r="N113" s="142" t="str">
        <f t="shared" si="16"/>
        <v>42</v>
      </c>
      <c r="R113" s="142">
        <v>4511</v>
      </c>
      <c r="S113" s="142" t="s">
        <v>140</v>
      </c>
      <c r="U113" s="142" t="str">
        <f t="shared" si="23"/>
        <v>45</v>
      </c>
      <c r="V113" s="142" t="str">
        <f t="shared" si="22"/>
        <v>451</v>
      </c>
      <c r="X113" t="s">
        <v>1500</v>
      </c>
      <c r="Y113" t="s">
        <v>1501</v>
      </c>
    </row>
    <row r="114" spans="1:25">
      <c r="A114" s="146" t="str">
        <f>IF(C114="","",VLOOKUP('Opći dio'!$C$3,'Opći dio'!$L$6:$U$136,10,FALSE))</f>
        <v>08091</v>
      </c>
      <c r="B114" s="146" t="str">
        <f>IF(C114="","",VLOOKUP('Opći dio'!$C$3,'Opći dio'!$L$6:$U$136,9,FALSE))</f>
        <v>Agencije</v>
      </c>
      <c r="C114" s="152">
        <v>71</v>
      </c>
      <c r="D114" s="147" t="str">
        <f t="shared" si="12"/>
        <v>Prihodi od nefin. imovine i nadoknade štete s osnova osig.</v>
      </c>
      <c r="E114" s="152">
        <v>4242</v>
      </c>
      <c r="F114" s="147" t="str">
        <f t="shared" si="13"/>
        <v>Umjetnička djela (izložena u galerijama, muzejima i slično)</v>
      </c>
      <c r="G114" s="199" t="s">
        <v>1343</v>
      </c>
      <c r="H114" s="147" t="str">
        <f t="shared" si="14"/>
        <v>ADMINISTRACIJA I UPRAVLJANJE NACIONALNE SVEUČILIŠNE KNJIŽNICE - OSTALI IZVORI FINANCIRANJA</v>
      </c>
      <c r="I114" s="196">
        <v>1000</v>
      </c>
      <c r="J114" s="196">
        <v>1000</v>
      </c>
      <c r="K114" s="196">
        <v>1000</v>
      </c>
      <c r="M114" s="142" t="str">
        <f t="shared" si="15"/>
        <v>424</v>
      </c>
      <c r="N114" s="142" t="str">
        <f t="shared" si="16"/>
        <v>42</v>
      </c>
      <c r="R114" s="142">
        <v>4521</v>
      </c>
      <c r="S114" s="142" t="s">
        <v>160</v>
      </c>
      <c r="U114" s="142" t="str">
        <f t="shared" si="23"/>
        <v>45</v>
      </c>
      <c r="V114" s="142" t="str">
        <f t="shared" si="22"/>
        <v>452</v>
      </c>
      <c r="X114" t="s">
        <v>1502</v>
      </c>
      <c r="Y114" t="s">
        <v>1503</v>
      </c>
    </row>
    <row r="115" spans="1:25">
      <c r="A115" s="146" t="str">
        <f>IF(C115="","",VLOOKUP('Opći dio'!$C$3,'Opći dio'!$L$6:$U$136,10,FALSE))</f>
        <v/>
      </c>
      <c r="B115" s="146" t="str">
        <f>IF(C115="","",VLOOKUP('Opći dio'!$C$3,'Opći dio'!$L$6:$U$136,9,FALSE))</f>
        <v/>
      </c>
      <c r="C115" s="152"/>
      <c r="D115" s="147" t="str">
        <f t="shared" si="12"/>
        <v/>
      </c>
      <c r="E115" s="152"/>
      <c r="F115" s="147" t="str">
        <f t="shared" si="13"/>
        <v/>
      </c>
      <c r="G115" s="199"/>
      <c r="H115" s="147" t="str">
        <f t="shared" si="14"/>
        <v/>
      </c>
      <c r="I115" s="196"/>
      <c r="J115" s="196"/>
      <c r="K115" s="196"/>
      <c r="M115" s="142" t="str">
        <f t="shared" si="15"/>
        <v/>
      </c>
      <c r="N115" s="142" t="str">
        <f t="shared" si="16"/>
        <v/>
      </c>
      <c r="R115" s="142">
        <v>4531</v>
      </c>
      <c r="S115" s="142" t="s">
        <v>203</v>
      </c>
      <c r="U115" s="142" t="str">
        <f t="shared" si="23"/>
        <v>45</v>
      </c>
      <c r="V115" s="142" t="str">
        <f t="shared" si="22"/>
        <v>453</v>
      </c>
      <c r="X115" t="s">
        <v>1504</v>
      </c>
      <c r="Y115" t="s">
        <v>1505</v>
      </c>
    </row>
    <row r="116" spans="1:25">
      <c r="A116" s="146" t="str">
        <f>IF(C116="","",VLOOKUP('Opći dio'!$C$3,'Opći dio'!$L$6:$U$136,10,FALSE))</f>
        <v/>
      </c>
      <c r="B116" s="146" t="str">
        <f>IF(C116="","",VLOOKUP('Opći dio'!$C$3,'Opći dio'!$L$6:$U$136,9,FALSE))</f>
        <v/>
      </c>
      <c r="C116" s="152"/>
      <c r="D116" s="147" t="str">
        <f t="shared" si="12"/>
        <v/>
      </c>
      <c r="E116" s="152"/>
      <c r="F116" s="147" t="str">
        <f t="shared" si="13"/>
        <v/>
      </c>
      <c r="G116" s="199"/>
      <c r="H116" s="147" t="str">
        <f t="shared" si="14"/>
        <v/>
      </c>
      <c r="I116" s="196"/>
      <c r="J116" s="196"/>
      <c r="K116" s="196"/>
      <c r="M116" s="142" t="str">
        <f t="shared" si="15"/>
        <v/>
      </c>
      <c r="N116" s="142" t="str">
        <f t="shared" si="16"/>
        <v/>
      </c>
      <c r="R116" s="142">
        <v>4541</v>
      </c>
      <c r="S116" s="142" t="s">
        <v>155</v>
      </c>
      <c r="U116" s="142" t="str">
        <f t="shared" si="23"/>
        <v>45</v>
      </c>
      <c r="V116" s="142" t="str">
        <f t="shared" si="22"/>
        <v>454</v>
      </c>
      <c r="X116" t="s">
        <v>1506</v>
      </c>
      <c r="Y116" t="s">
        <v>1507</v>
      </c>
    </row>
    <row r="117" spans="1:25">
      <c r="A117" s="146" t="str">
        <f>IF(C117="","",VLOOKUP('Opći dio'!$C$3,'Opći dio'!$L$6:$U$136,10,FALSE))</f>
        <v/>
      </c>
      <c r="B117" s="146" t="str">
        <f>IF(C117="","",VLOOKUP('Opći dio'!$C$3,'Opći dio'!$L$6:$U$136,9,FALSE))</f>
        <v/>
      </c>
      <c r="C117" s="152"/>
      <c r="D117" s="147" t="str">
        <f t="shared" si="12"/>
        <v/>
      </c>
      <c r="E117" s="152"/>
      <c r="F117" s="147" t="str">
        <f t="shared" si="13"/>
        <v/>
      </c>
      <c r="G117" s="199"/>
      <c r="H117" s="147" t="str">
        <f t="shared" si="14"/>
        <v/>
      </c>
      <c r="I117" s="196"/>
      <c r="J117" s="196"/>
      <c r="K117" s="196"/>
      <c r="M117" s="142" t="str">
        <f t="shared" si="15"/>
        <v/>
      </c>
      <c r="N117" s="142" t="str">
        <f t="shared" si="16"/>
        <v/>
      </c>
      <c r="R117" s="142">
        <v>5121</v>
      </c>
      <c r="S117" s="142" t="s">
        <v>211</v>
      </c>
      <c r="U117" s="142" t="str">
        <f t="shared" si="23"/>
        <v>51</v>
      </c>
      <c r="V117" s="142" t="str">
        <f t="shared" si="22"/>
        <v>512</v>
      </c>
      <c r="X117" t="s">
        <v>1508</v>
      </c>
      <c r="Y117" t="s">
        <v>1509</v>
      </c>
    </row>
    <row r="118" spans="1:25">
      <c r="A118" s="146" t="str">
        <f>IF(C118="","",VLOOKUP('Opći dio'!$C$3,'Opći dio'!$L$6:$U$136,10,FALSE))</f>
        <v/>
      </c>
      <c r="B118" s="146" t="str">
        <f>IF(C118="","",VLOOKUP('Opći dio'!$C$3,'Opći dio'!$L$6:$U$136,9,FALSE))</f>
        <v/>
      </c>
      <c r="C118" s="152"/>
      <c r="D118" s="147" t="str">
        <f t="shared" si="12"/>
        <v/>
      </c>
      <c r="E118" s="152"/>
      <c r="F118" s="147" t="str">
        <f t="shared" si="13"/>
        <v/>
      </c>
      <c r="G118" s="199"/>
      <c r="H118" s="147" t="str">
        <f t="shared" si="14"/>
        <v/>
      </c>
      <c r="I118" s="196"/>
      <c r="J118" s="196"/>
      <c r="K118" s="196"/>
      <c r="M118" s="142" t="str">
        <f t="shared" si="15"/>
        <v/>
      </c>
      <c r="N118" s="142" t="str">
        <f t="shared" si="16"/>
        <v/>
      </c>
      <c r="R118" s="142">
        <v>5443</v>
      </c>
      <c r="S118" s="142" t="s">
        <v>187</v>
      </c>
      <c r="U118" s="142" t="str">
        <f t="shared" si="23"/>
        <v>54</v>
      </c>
      <c r="V118" s="142" t="str">
        <f t="shared" si="22"/>
        <v>544</v>
      </c>
      <c r="X118" t="s">
        <v>1510</v>
      </c>
      <c r="Y118" t="s">
        <v>1511</v>
      </c>
    </row>
    <row r="119" spans="1:25">
      <c r="A119" s="146" t="str">
        <f>IF(C119="","",VLOOKUP('Opći dio'!$C$3,'Opći dio'!$L$6:$U$136,10,FALSE))</f>
        <v/>
      </c>
      <c r="B119" s="146" t="str">
        <f>IF(C119="","",VLOOKUP('Opći dio'!$C$3,'Opći dio'!$L$6:$U$136,9,FALSE))</f>
        <v/>
      </c>
      <c r="C119" s="152"/>
      <c r="D119" s="147" t="str">
        <f t="shared" si="12"/>
        <v/>
      </c>
      <c r="E119" s="152"/>
      <c r="F119" s="147" t="str">
        <f t="shared" si="13"/>
        <v/>
      </c>
      <c r="G119" s="199"/>
      <c r="H119" s="147" t="str">
        <f t="shared" si="14"/>
        <v/>
      </c>
      <c r="I119" s="196"/>
      <c r="J119" s="196"/>
      <c r="K119" s="196"/>
      <c r="M119" s="142" t="str">
        <f t="shared" si="15"/>
        <v/>
      </c>
      <c r="N119" s="142" t="str">
        <f t="shared" si="16"/>
        <v/>
      </c>
      <c r="R119" s="142">
        <v>5121</v>
      </c>
      <c r="S119" s="142" t="s">
        <v>819</v>
      </c>
      <c r="U119" s="142" t="str">
        <f t="shared" si="23"/>
        <v>51</v>
      </c>
      <c r="V119" s="142" t="str">
        <f t="shared" ref="V119:V129" si="24">LEFT(R119,3)</f>
        <v>512</v>
      </c>
      <c r="X119" t="s">
        <v>1512</v>
      </c>
      <c r="Y119" t="s">
        <v>1513</v>
      </c>
    </row>
    <row r="120" spans="1:25">
      <c r="A120" s="146" t="str">
        <f>IF(C120="","",VLOOKUP('Opći dio'!$C$3,'Opći dio'!$L$6:$U$136,10,FALSE))</f>
        <v/>
      </c>
      <c r="B120" s="146" t="str">
        <f>IF(C120="","",VLOOKUP('Opći dio'!$C$3,'Opći dio'!$L$6:$U$136,9,FALSE))</f>
        <v/>
      </c>
      <c r="C120" s="152"/>
      <c r="D120" s="147" t="str">
        <f t="shared" si="12"/>
        <v/>
      </c>
      <c r="E120" s="152"/>
      <c r="F120" s="147" t="str">
        <f t="shared" si="13"/>
        <v/>
      </c>
      <c r="G120" s="199"/>
      <c r="H120" s="147" t="str">
        <f t="shared" si="14"/>
        <v/>
      </c>
      <c r="I120" s="196"/>
      <c r="J120" s="196"/>
      <c r="K120" s="196"/>
      <c r="M120" s="142" t="str">
        <f t="shared" si="15"/>
        <v/>
      </c>
      <c r="N120" s="142" t="str">
        <f t="shared" si="16"/>
        <v/>
      </c>
      <c r="R120" s="142">
        <v>5122</v>
      </c>
      <c r="S120" s="142" t="s">
        <v>820</v>
      </c>
      <c r="U120" s="142" t="str">
        <f t="shared" si="23"/>
        <v>51</v>
      </c>
      <c r="V120" s="142" t="str">
        <f t="shared" si="24"/>
        <v>512</v>
      </c>
      <c r="X120" t="s">
        <v>1514</v>
      </c>
      <c r="Y120" t="s">
        <v>1515</v>
      </c>
    </row>
    <row r="121" spans="1:25">
      <c r="A121" s="146" t="str">
        <f>IF(C121="","",VLOOKUP('Opći dio'!$C$3,'Opći dio'!$L$6:$U$136,10,FALSE))</f>
        <v/>
      </c>
      <c r="B121" s="146" t="str">
        <f>IF(C121="","",VLOOKUP('Opći dio'!$C$3,'Opći dio'!$L$6:$U$136,9,FALSE))</f>
        <v/>
      </c>
      <c r="C121" s="152"/>
      <c r="D121" s="147" t="str">
        <f t="shared" si="12"/>
        <v/>
      </c>
      <c r="E121" s="152"/>
      <c r="F121" s="147" t="str">
        <f t="shared" si="13"/>
        <v/>
      </c>
      <c r="G121" s="199"/>
      <c r="H121" s="147" t="str">
        <f t="shared" si="14"/>
        <v/>
      </c>
      <c r="I121" s="196"/>
      <c r="J121" s="196"/>
      <c r="K121" s="196"/>
      <c r="M121" s="142" t="str">
        <f t="shared" si="15"/>
        <v/>
      </c>
      <c r="N121" s="142" t="str">
        <f t="shared" si="16"/>
        <v/>
      </c>
      <c r="R121" s="142">
        <v>5141</v>
      </c>
      <c r="S121" s="142" t="s">
        <v>821</v>
      </c>
      <c r="U121" s="142" t="str">
        <f t="shared" si="23"/>
        <v>51</v>
      </c>
      <c r="V121" s="142" t="str">
        <f t="shared" si="24"/>
        <v>514</v>
      </c>
      <c r="X121" t="s">
        <v>1516</v>
      </c>
      <c r="Y121" t="s">
        <v>1517</v>
      </c>
    </row>
    <row r="122" spans="1:25">
      <c r="A122" s="146" t="str">
        <f>IF(C122="","",VLOOKUP('Opći dio'!$C$3,'Opći dio'!$L$6:$U$136,10,FALSE))</f>
        <v/>
      </c>
      <c r="B122" s="146" t="str">
        <f>IF(C122="","",VLOOKUP('Opći dio'!$C$3,'Opći dio'!$L$6:$U$136,9,FALSE))</f>
        <v/>
      </c>
      <c r="C122" s="152"/>
      <c r="D122" s="147" t="str">
        <f t="shared" si="12"/>
        <v/>
      </c>
      <c r="E122" s="152"/>
      <c r="F122" s="147" t="str">
        <f t="shared" si="13"/>
        <v/>
      </c>
      <c r="G122" s="199"/>
      <c r="H122" s="147" t="str">
        <f t="shared" si="14"/>
        <v/>
      </c>
      <c r="I122" s="196"/>
      <c r="J122" s="196"/>
      <c r="K122" s="196"/>
      <c r="M122" s="142" t="str">
        <f t="shared" si="15"/>
        <v/>
      </c>
      <c r="N122" s="142" t="str">
        <f t="shared" si="16"/>
        <v/>
      </c>
      <c r="R122" s="142">
        <v>5181</v>
      </c>
      <c r="S122" s="142" t="s">
        <v>822</v>
      </c>
      <c r="U122" s="142" t="str">
        <f t="shared" si="23"/>
        <v>51</v>
      </c>
      <c r="V122" s="142" t="str">
        <f t="shared" si="24"/>
        <v>518</v>
      </c>
      <c r="X122" t="s">
        <v>1520</v>
      </c>
      <c r="Y122" t="s">
        <v>1521</v>
      </c>
    </row>
    <row r="123" spans="1:25">
      <c r="A123" s="146" t="str">
        <f>IF(C123="","",VLOOKUP('Opći dio'!$C$3,'Opći dio'!$L$6:$U$136,10,FALSE))</f>
        <v/>
      </c>
      <c r="B123" s="146" t="str">
        <f>IF(C123="","",VLOOKUP('Opći dio'!$C$3,'Opći dio'!$L$6:$U$136,9,FALSE))</f>
        <v/>
      </c>
      <c r="C123" s="152"/>
      <c r="D123" s="147" t="str">
        <f t="shared" si="12"/>
        <v/>
      </c>
      <c r="E123" s="152"/>
      <c r="F123" s="147" t="str">
        <f t="shared" si="13"/>
        <v/>
      </c>
      <c r="G123" s="199"/>
      <c r="H123" s="147" t="str">
        <f t="shared" si="14"/>
        <v/>
      </c>
      <c r="I123" s="196"/>
      <c r="J123" s="196"/>
      <c r="K123" s="196"/>
      <c r="M123" s="142" t="str">
        <f t="shared" si="15"/>
        <v/>
      </c>
      <c r="N123" s="142" t="str">
        <f t="shared" si="16"/>
        <v/>
      </c>
      <c r="R123" s="142">
        <v>5183</v>
      </c>
      <c r="S123" s="142" t="s">
        <v>823</v>
      </c>
      <c r="U123" s="142" t="str">
        <f t="shared" si="23"/>
        <v>51</v>
      </c>
      <c r="V123" s="142" t="str">
        <f t="shared" si="24"/>
        <v>518</v>
      </c>
      <c r="X123" t="s">
        <v>1522</v>
      </c>
      <c r="Y123" t="s">
        <v>1523</v>
      </c>
    </row>
    <row r="124" spans="1:25">
      <c r="A124" s="146" t="str">
        <f>IF(C124="","",VLOOKUP('Opći dio'!$C$3,'Opći dio'!$L$6:$U$136,10,FALSE))</f>
        <v/>
      </c>
      <c r="B124" s="146" t="str">
        <f>IF(C124="","",VLOOKUP('Opći dio'!$C$3,'Opći dio'!$L$6:$U$136,9,FALSE))</f>
        <v/>
      </c>
      <c r="C124" s="152"/>
      <c r="D124" s="147" t="str">
        <f t="shared" si="12"/>
        <v/>
      </c>
      <c r="E124" s="152"/>
      <c r="F124" s="147" t="str">
        <f t="shared" si="13"/>
        <v/>
      </c>
      <c r="G124" s="199"/>
      <c r="H124" s="147" t="str">
        <f t="shared" si="14"/>
        <v/>
      </c>
      <c r="I124" s="196"/>
      <c r="J124" s="196"/>
      <c r="K124" s="196"/>
      <c r="M124" s="142" t="str">
        <f t="shared" si="15"/>
        <v/>
      </c>
      <c r="N124" s="142" t="str">
        <f t="shared" si="16"/>
        <v/>
      </c>
      <c r="R124" s="142">
        <v>5422</v>
      </c>
      <c r="S124" s="142" t="s">
        <v>824</v>
      </c>
      <c r="U124" s="142" t="str">
        <f t="shared" si="23"/>
        <v>54</v>
      </c>
      <c r="V124" s="142" t="str">
        <f t="shared" si="24"/>
        <v>542</v>
      </c>
      <c r="X124" t="s">
        <v>1524</v>
      </c>
      <c r="Y124" t="s">
        <v>1525</v>
      </c>
    </row>
    <row r="125" spans="1:25">
      <c r="A125" s="146" t="str">
        <f>IF(C125="","",VLOOKUP('Opći dio'!$C$3,'Opći dio'!$L$6:$U$136,10,FALSE))</f>
        <v/>
      </c>
      <c r="B125" s="146" t="str">
        <f>IF(C125="","",VLOOKUP('Opći dio'!$C$3,'Opći dio'!$L$6:$U$136,9,FALSE))</f>
        <v/>
      </c>
      <c r="C125" s="152"/>
      <c r="D125" s="147" t="str">
        <f t="shared" si="12"/>
        <v/>
      </c>
      <c r="E125" s="152"/>
      <c r="F125" s="147" t="str">
        <f t="shared" si="13"/>
        <v/>
      </c>
      <c r="G125" s="199"/>
      <c r="H125" s="147" t="str">
        <f t="shared" si="14"/>
        <v/>
      </c>
      <c r="I125" s="196"/>
      <c r="J125" s="196"/>
      <c r="K125" s="196"/>
      <c r="M125" s="142" t="str">
        <f t="shared" si="15"/>
        <v/>
      </c>
      <c r="N125" s="142" t="str">
        <f t="shared" si="16"/>
        <v/>
      </c>
      <c r="R125" s="142">
        <v>5431</v>
      </c>
      <c r="S125" s="142" t="s">
        <v>389</v>
      </c>
      <c r="U125" s="142" t="str">
        <f t="shared" si="23"/>
        <v>54</v>
      </c>
      <c r="V125" s="142" t="str">
        <f t="shared" si="24"/>
        <v>543</v>
      </c>
      <c r="X125" t="s">
        <v>1526</v>
      </c>
      <c r="Y125" t="s">
        <v>1527</v>
      </c>
    </row>
    <row r="126" spans="1:25">
      <c r="A126" s="146" t="str">
        <f>IF(C126="","",VLOOKUP('Opći dio'!$C$3,'Opći dio'!$L$6:$U$136,10,FALSE))</f>
        <v/>
      </c>
      <c r="B126" s="146" t="str">
        <f>IF(C126="","",VLOOKUP('Opći dio'!$C$3,'Opći dio'!$L$6:$U$136,9,FALSE))</f>
        <v/>
      </c>
      <c r="C126" s="152"/>
      <c r="D126" s="147" t="str">
        <f t="shared" si="12"/>
        <v/>
      </c>
      <c r="E126" s="152"/>
      <c r="F126" s="147" t="str">
        <f t="shared" si="13"/>
        <v/>
      </c>
      <c r="G126" s="199"/>
      <c r="H126" s="147" t="str">
        <f t="shared" si="14"/>
        <v/>
      </c>
      <c r="I126" s="196"/>
      <c r="J126" s="196"/>
      <c r="K126" s="196"/>
      <c r="M126" s="142" t="str">
        <f t="shared" si="15"/>
        <v/>
      </c>
      <c r="N126" s="142" t="str">
        <f t="shared" si="16"/>
        <v/>
      </c>
      <c r="R126" s="142">
        <v>5443</v>
      </c>
      <c r="S126" s="142" t="s">
        <v>825</v>
      </c>
      <c r="U126" s="142" t="str">
        <f t="shared" si="23"/>
        <v>54</v>
      </c>
      <c r="V126" s="142" t="str">
        <f t="shared" si="24"/>
        <v>544</v>
      </c>
      <c r="X126" t="s">
        <v>1528</v>
      </c>
      <c r="Y126" t="s">
        <v>1529</v>
      </c>
    </row>
    <row r="127" spans="1:25">
      <c r="A127" s="146" t="str">
        <f>IF(C127="","",VLOOKUP('Opći dio'!$C$3,'Opći dio'!$L$6:$U$136,10,FALSE))</f>
        <v/>
      </c>
      <c r="B127" s="146" t="str">
        <f>IF(C127="","",VLOOKUP('Opći dio'!$C$3,'Opći dio'!$L$6:$U$136,9,FALSE))</f>
        <v/>
      </c>
      <c r="C127" s="152"/>
      <c r="D127" s="147" t="str">
        <f t="shared" si="12"/>
        <v/>
      </c>
      <c r="E127" s="152"/>
      <c r="F127" s="147" t="str">
        <f t="shared" si="13"/>
        <v/>
      </c>
      <c r="G127" s="199"/>
      <c r="H127" s="147" t="str">
        <f t="shared" si="14"/>
        <v/>
      </c>
      <c r="I127" s="196"/>
      <c r="J127" s="196"/>
      <c r="K127" s="196"/>
      <c r="M127" s="142" t="str">
        <f t="shared" si="15"/>
        <v/>
      </c>
      <c r="N127" s="142" t="str">
        <f t="shared" si="16"/>
        <v/>
      </c>
      <c r="R127" s="142">
        <v>5445</v>
      </c>
      <c r="S127" s="142" t="s">
        <v>826</v>
      </c>
      <c r="U127" s="142" t="str">
        <f t="shared" si="23"/>
        <v>54</v>
      </c>
      <c r="V127" s="142" t="str">
        <f t="shared" si="24"/>
        <v>544</v>
      </c>
      <c r="X127" t="s">
        <v>1530</v>
      </c>
      <c r="Y127" t="s">
        <v>1531</v>
      </c>
    </row>
    <row r="128" spans="1:25">
      <c r="A128" s="146" t="str">
        <f>IF(C128="","",VLOOKUP('Opći dio'!$C$3,'Opći dio'!$L$6:$U$136,10,FALSE))</f>
        <v/>
      </c>
      <c r="B128" s="146" t="str">
        <f>IF(C128="","",VLOOKUP('Opći dio'!$C$3,'Opći dio'!$L$6:$U$136,9,FALSE))</f>
        <v/>
      </c>
      <c r="C128" s="152"/>
      <c r="D128" s="147" t="str">
        <f t="shared" si="12"/>
        <v/>
      </c>
      <c r="E128" s="152"/>
      <c r="F128" s="147" t="str">
        <f t="shared" si="13"/>
        <v/>
      </c>
      <c r="G128" s="199"/>
      <c r="H128" s="147" t="str">
        <f t="shared" si="14"/>
        <v/>
      </c>
      <c r="I128" s="196"/>
      <c r="J128" s="196"/>
      <c r="K128" s="196"/>
      <c r="M128" s="142" t="str">
        <f t="shared" si="15"/>
        <v/>
      </c>
      <c r="N128" s="142" t="str">
        <f t="shared" si="16"/>
        <v/>
      </c>
      <c r="R128" s="142">
        <v>5453</v>
      </c>
      <c r="S128" s="142" t="s">
        <v>827</v>
      </c>
      <c r="U128" s="142" t="str">
        <f t="shared" si="23"/>
        <v>54</v>
      </c>
      <c r="V128" s="142" t="str">
        <f t="shared" si="24"/>
        <v>545</v>
      </c>
      <c r="X128" t="s">
        <v>1532</v>
      </c>
      <c r="Y128" t="s">
        <v>1533</v>
      </c>
    </row>
    <row r="129" spans="1:25">
      <c r="A129" s="146" t="str">
        <f>IF(C129="","",VLOOKUP('Opći dio'!$C$3,'Opći dio'!$L$6:$U$136,10,FALSE))</f>
        <v/>
      </c>
      <c r="B129" s="146" t="str">
        <f>IF(C129="","",VLOOKUP('Opći dio'!$C$3,'Opći dio'!$L$6:$U$136,9,FALSE))</f>
        <v/>
      </c>
      <c r="C129" s="152"/>
      <c r="D129" s="147" t="str">
        <f t="shared" si="12"/>
        <v/>
      </c>
      <c r="E129" s="152"/>
      <c r="F129" s="147" t="str">
        <f t="shared" si="13"/>
        <v/>
      </c>
      <c r="G129" s="199"/>
      <c r="H129" s="147" t="str">
        <f t="shared" si="14"/>
        <v/>
      </c>
      <c r="I129" s="196"/>
      <c r="J129" s="196"/>
      <c r="K129" s="196"/>
      <c r="M129" s="142" t="str">
        <f t="shared" si="15"/>
        <v/>
      </c>
      <c r="N129" s="142" t="str">
        <f t="shared" si="16"/>
        <v/>
      </c>
      <c r="R129" s="142">
        <v>5472</v>
      </c>
      <c r="S129" s="142" t="s">
        <v>828</v>
      </c>
      <c r="U129" s="142" t="str">
        <f t="shared" si="23"/>
        <v>54</v>
      </c>
      <c r="V129" s="142" t="str">
        <f t="shared" si="24"/>
        <v>547</v>
      </c>
      <c r="X129" t="s">
        <v>1534</v>
      </c>
      <c r="Y129" t="s">
        <v>1535</v>
      </c>
    </row>
    <row r="130" spans="1:25">
      <c r="A130" s="146" t="str">
        <f>IF(C130="","",VLOOKUP('Opći dio'!$C$3,'Opći dio'!$L$6:$U$136,10,FALSE))</f>
        <v/>
      </c>
      <c r="B130" s="146" t="str">
        <f>IF(C130="","",VLOOKUP('Opći dio'!$C$3,'Opći dio'!$L$6:$U$136,9,FALSE))</f>
        <v/>
      </c>
      <c r="C130" s="152"/>
      <c r="D130" s="147" t="str">
        <f t="shared" si="12"/>
        <v/>
      </c>
      <c r="E130" s="152"/>
      <c r="F130" s="147" t="str">
        <f t="shared" si="13"/>
        <v/>
      </c>
      <c r="G130" s="199"/>
      <c r="H130" s="147" t="str">
        <f t="shared" si="14"/>
        <v/>
      </c>
      <c r="I130" s="196"/>
      <c r="J130" s="196"/>
      <c r="K130" s="196"/>
      <c r="M130" s="142" t="str">
        <f t="shared" si="15"/>
        <v/>
      </c>
      <c r="N130" s="142" t="str">
        <f t="shared" si="16"/>
        <v/>
      </c>
      <c r="X130" t="s">
        <v>1536</v>
      </c>
      <c r="Y130" t="s">
        <v>1537</v>
      </c>
    </row>
    <row r="131" spans="1:25">
      <c r="A131" s="146" t="str">
        <f>IF(C131="","",VLOOKUP('Opći dio'!$C$3,'Opći dio'!$L$6:$U$136,10,FALSE))</f>
        <v/>
      </c>
      <c r="B131" s="146" t="str">
        <f>IF(C131="","",VLOOKUP('Opći dio'!$C$3,'Opći dio'!$L$6:$U$136,9,FALSE))</f>
        <v/>
      </c>
      <c r="C131" s="152"/>
      <c r="D131" s="147" t="str">
        <f t="shared" si="12"/>
        <v/>
      </c>
      <c r="E131" s="152"/>
      <c r="F131" s="147" t="str">
        <f t="shared" si="13"/>
        <v/>
      </c>
      <c r="G131" s="199"/>
      <c r="H131" s="147" t="str">
        <f t="shared" si="14"/>
        <v/>
      </c>
      <c r="I131" s="196"/>
      <c r="J131" s="196"/>
      <c r="K131" s="196"/>
      <c r="M131" s="142" t="str">
        <f t="shared" si="15"/>
        <v/>
      </c>
      <c r="N131" s="142" t="str">
        <f t="shared" si="16"/>
        <v/>
      </c>
      <c r="X131" t="s">
        <v>1538</v>
      </c>
      <c r="Y131" t="s">
        <v>1539</v>
      </c>
    </row>
    <row r="132" spans="1:25">
      <c r="A132" s="146" t="str">
        <f>IF(C132="","",VLOOKUP('Opći dio'!$C$3,'Opći dio'!$L$6:$U$136,10,FALSE))</f>
        <v/>
      </c>
      <c r="B132" s="146" t="str">
        <f>IF(C132="","",VLOOKUP('Opći dio'!$C$3,'Opći dio'!$L$6:$U$136,9,FALSE))</f>
        <v/>
      </c>
      <c r="C132" s="152"/>
      <c r="D132" s="147" t="str">
        <f t="shared" ref="D132:D195" si="25">IFERROR(VLOOKUP(C132,$O$6:$P$22,2,FALSE),"")</f>
        <v/>
      </c>
      <c r="E132" s="152"/>
      <c r="F132" s="147" t="str">
        <f t="shared" ref="F132:F195" si="26">IFERROR(VLOOKUP(E132,$R$5:$T$129,2,FALSE),"")</f>
        <v/>
      </c>
      <c r="G132" s="199"/>
      <c r="H132" s="147" t="str">
        <f t="shared" ref="H132:H195" si="27">IFERROR(VLOOKUP(G132,$X$6:$Y$171,2,FALSE),"")</f>
        <v/>
      </c>
      <c r="I132" s="196"/>
      <c r="J132" s="196"/>
      <c r="K132" s="196"/>
      <c r="M132" s="142" t="str">
        <f t="shared" ref="M132:M195" si="28">LEFT(E132,3)</f>
        <v/>
      </c>
      <c r="N132" s="142" t="str">
        <f t="shared" ref="N132:N195" si="29">LEFT(E132,2)</f>
        <v/>
      </c>
      <c r="X132" t="s">
        <v>1540</v>
      </c>
      <c r="Y132" t="s">
        <v>1541</v>
      </c>
    </row>
    <row r="133" spans="1:25">
      <c r="A133" s="146" t="str">
        <f>IF(C133="","",VLOOKUP('Opći dio'!$C$3,'Opći dio'!$L$6:$U$136,10,FALSE))</f>
        <v/>
      </c>
      <c r="B133" s="146" t="str">
        <f>IF(C133="","",VLOOKUP('Opći dio'!$C$3,'Opći dio'!$L$6:$U$136,9,FALSE))</f>
        <v/>
      </c>
      <c r="C133" s="152"/>
      <c r="D133" s="147" t="str">
        <f t="shared" si="25"/>
        <v/>
      </c>
      <c r="E133" s="152"/>
      <c r="F133" s="147" t="str">
        <f t="shared" si="26"/>
        <v/>
      </c>
      <c r="G133" s="199"/>
      <c r="H133" s="147" t="str">
        <f t="shared" si="27"/>
        <v/>
      </c>
      <c r="I133" s="196"/>
      <c r="J133" s="196"/>
      <c r="K133" s="196"/>
      <c r="M133" s="142" t="str">
        <f t="shared" si="28"/>
        <v/>
      </c>
      <c r="N133" s="142" t="str">
        <f t="shared" si="29"/>
        <v/>
      </c>
      <c r="X133" t="s">
        <v>1542</v>
      </c>
      <c r="Y133" t="s">
        <v>1543</v>
      </c>
    </row>
    <row r="134" spans="1:25">
      <c r="A134" s="146" t="str">
        <f>IF(C134="","",VLOOKUP('Opći dio'!$C$3,'Opći dio'!$L$6:$U$136,10,FALSE))</f>
        <v/>
      </c>
      <c r="B134" s="146" t="str">
        <f>IF(C134="","",VLOOKUP('Opći dio'!$C$3,'Opći dio'!$L$6:$U$136,9,FALSE))</f>
        <v/>
      </c>
      <c r="C134" s="152"/>
      <c r="D134" s="147" t="str">
        <f t="shared" si="25"/>
        <v/>
      </c>
      <c r="E134" s="152"/>
      <c r="F134" s="147" t="str">
        <f t="shared" si="26"/>
        <v/>
      </c>
      <c r="G134" s="199"/>
      <c r="H134" s="147" t="str">
        <f t="shared" si="27"/>
        <v/>
      </c>
      <c r="I134" s="196"/>
      <c r="J134" s="196"/>
      <c r="K134" s="196"/>
      <c r="M134" s="142" t="str">
        <f t="shared" si="28"/>
        <v/>
      </c>
      <c r="N134" s="142" t="str">
        <f t="shared" si="29"/>
        <v/>
      </c>
      <c r="X134" t="s">
        <v>1544</v>
      </c>
      <c r="Y134" t="s">
        <v>1545</v>
      </c>
    </row>
    <row r="135" spans="1:25">
      <c r="A135" s="146" t="str">
        <f>IF(C135="","",VLOOKUP('Opći dio'!$C$3,'Opći dio'!$L$6:$U$136,10,FALSE))</f>
        <v/>
      </c>
      <c r="B135" s="146" t="str">
        <f>IF(C135="","",VLOOKUP('Opći dio'!$C$3,'Opći dio'!$L$6:$U$136,9,FALSE))</f>
        <v/>
      </c>
      <c r="C135" s="152"/>
      <c r="D135" s="147" t="str">
        <f t="shared" si="25"/>
        <v/>
      </c>
      <c r="E135" s="152"/>
      <c r="F135" s="147" t="str">
        <f t="shared" si="26"/>
        <v/>
      </c>
      <c r="G135" s="199"/>
      <c r="H135" s="147" t="str">
        <f t="shared" si="27"/>
        <v/>
      </c>
      <c r="I135" s="196"/>
      <c r="J135" s="196"/>
      <c r="K135" s="196"/>
      <c r="M135" s="142" t="str">
        <f t="shared" si="28"/>
        <v/>
      </c>
      <c r="N135" s="142" t="str">
        <f t="shared" si="29"/>
        <v/>
      </c>
      <c r="X135" t="s">
        <v>1433</v>
      </c>
      <c r="Y135" t="s">
        <v>1434</v>
      </c>
    </row>
    <row r="136" spans="1:25">
      <c r="A136" s="146" t="str">
        <f>IF(C136="","",VLOOKUP('Opći dio'!$C$3,'Opći dio'!$L$6:$U$136,10,FALSE))</f>
        <v/>
      </c>
      <c r="B136" s="146" t="str">
        <f>IF(C136="","",VLOOKUP('Opći dio'!$C$3,'Opći dio'!$L$6:$U$136,9,FALSE))</f>
        <v/>
      </c>
      <c r="C136" s="152"/>
      <c r="D136" s="147" t="str">
        <f t="shared" si="25"/>
        <v/>
      </c>
      <c r="E136" s="152"/>
      <c r="F136" s="147" t="str">
        <f t="shared" si="26"/>
        <v/>
      </c>
      <c r="G136" s="199"/>
      <c r="H136" s="147" t="str">
        <f t="shared" si="27"/>
        <v/>
      </c>
      <c r="I136" s="196"/>
      <c r="J136" s="196"/>
      <c r="K136" s="196"/>
      <c r="M136" s="142" t="str">
        <f t="shared" si="28"/>
        <v/>
      </c>
      <c r="N136" s="142" t="str">
        <f t="shared" si="29"/>
        <v/>
      </c>
      <c r="X136" t="s">
        <v>1435</v>
      </c>
      <c r="Y136" t="s">
        <v>1436</v>
      </c>
    </row>
    <row r="137" spans="1:25">
      <c r="A137" s="146" t="str">
        <f>IF(C137="","",VLOOKUP('Opći dio'!$C$3,'Opći dio'!$L$6:$U$136,10,FALSE))</f>
        <v/>
      </c>
      <c r="B137" s="146" t="str">
        <f>IF(C137="","",VLOOKUP('Opći dio'!$C$3,'Opći dio'!$L$6:$U$136,9,FALSE))</f>
        <v/>
      </c>
      <c r="C137" s="152"/>
      <c r="D137" s="147" t="str">
        <f t="shared" si="25"/>
        <v/>
      </c>
      <c r="E137" s="152"/>
      <c r="F137" s="147" t="str">
        <f t="shared" si="26"/>
        <v/>
      </c>
      <c r="G137" s="199"/>
      <c r="H137" s="147" t="str">
        <f t="shared" si="27"/>
        <v/>
      </c>
      <c r="I137" s="196"/>
      <c r="J137" s="196"/>
      <c r="K137" s="196"/>
      <c r="M137" s="142" t="str">
        <f t="shared" si="28"/>
        <v/>
      </c>
      <c r="N137" s="142" t="str">
        <f t="shared" si="29"/>
        <v/>
      </c>
      <c r="X137" t="s">
        <v>1437</v>
      </c>
      <c r="Y137" t="s">
        <v>1438</v>
      </c>
    </row>
    <row r="138" spans="1:25">
      <c r="A138" s="146" t="str">
        <f>IF(C138="","",VLOOKUP('Opći dio'!$C$3,'Opći dio'!$L$6:$U$136,10,FALSE))</f>
        <v/>
      </c>
      <c r="B138" s="146" t="str">
        <f>IF(C138="","",VLOOKUP('Opći dio'!$C$3,'Opći dio'!$L$6:$U$136,9,FALSE))</f>
        <v/>
      </c>
      <c r="C138" s="152"/>
      <c r="D138" s="147" t="str">
        <f t="shared" si="25"/>
        <v/>
      </c>
      <c r="E138" s="152"/>
      <c r="F138" s="147" t="str">
        <f t="shared" si="26"/>
        <v/>
      </c>
      <c r="G138" s="199"/>
      <c r="H138" s="147" t="str">
        <f t="shared" si="27"/>
        <v/>
      </c>
      <c r="I138" s="196"/>
      <c r="J138" s="196"/>
      <c r="K138" s="196"/>
      <c r="M138" s="142" t="str">
        <f t="shared" si="28"/>
        <v/>
      </c>
      <c r="N138" s="142" t="str">
        <f t="shared" si="29"/>
        <v/>
      </c>
      <c r="X138" t="s">
        <v>1439</v>
      </c>
      <c r="Y138" t="s">
        <v>1440</v>
      </c>
    </row>
    <row r="139" spans="1:25">
      <c r="A139" s="146" t="str">
        <f>IF(C139="","",VLOOKUP('Opći dio'!$C$3,'Opći dio'!$L$6:$U$136,10,FALSE))</f>
        <v/>
      </c>
      <c r="B139" s="146" t="str">
        <f>IF(C139="","",VLOOKUP('Opći dio'!$C$3,'Opći dio'!$L$6:$U$136,9,FALSE))</f>
        <v/>
      </c>
      <c r="C139" s="152"/>
      <c r="D139" s="147" t="str">
        <f t="shared" si="25"/>
        <v/>
      </c>
      <c r="E139" s="152"/>
      <c r="F139" s="147" t="str">
        <f t="shared" si="26"/>
        <v/>
      </c>
      <c r="G139" s="199"/>
      <c r="H139" s="147" t="str">
        <f t="shared" si="27"/>
        <v/>
      </c>
      <c r="I139" s="196"/>
      <c r="J139" s="196"/>
      <c r="K139" s="196"/>
      <c r="M139" s="142" t="str">
        <f t="shared" si="28"/>
        <v/>
      </c>
      <c r="N139" s="142" t="str">
        <f t="shared" si="29"/>
        <v/>
      </c>
      <c r="X139" t="s">
        <v>1441</v>
      </c>
      <c r="Y139" t="s">
        <v>1442</v>
      </c>
    </row>
    <row r="140" spans="1:25">
      <c r="A140" s="146" t="str">
        <f>IF(C140="","",VLOOKUP('Opći dio'!$C$3,'Opći dio'!$L$6:$U$136,10,FALSE))</f>
        <v/>
      </c>
      <c r="B140" s="146" t="str">
        <f>IF(C140="","",VLOOKUP('Opći dio'!$C$3,'Opći dio'!$L$6:$U$136,9,FALSE))</f>
        <v/>
      </c>
      <c r="C140" s="152"/>
      <c r="D140" s="147" t="str">
        <f t="shared" si="25"/>
        <v/>
      </c>
      <c r="E140" s="152"/>
      <c r="F140" s="147" t="str">
        <f t="shared" si="26"/>
        <v/>
      </c>
      <c r="G140" s="199"/>
      <c r="H140" s="147" t="str">
        <f t="shared" si="27"/>
        <v/>
      </c>
      <c r="I140" s="196"/>
      <c r="J140" s="196"/>
      <c r="K140" s="196"/>
      <c r="M140" s="142" t="str">
        <f t="shared" si="28"/>
        <v/>
      </c>
      <c r="N140" s="142" t="str">
        <f t="shared" si="29"/>
        <v/>
      </c>
      <c r="X140" t="s">
        <v>1443</v>
      </c>
      <c r="Y140" t="s">
        <v>1444</v>
      </c>
    </row>
    <row r="141" spans="1:25">
      <c r="A141" s="146" t="str">
        <f>IF(C141="","",VLOOKUP('Opći dio'!$C$3,'Opći dio'!$L$6:$U$136,10,FALSE))</f>
        <v/>
      </c>
      <c r="B141" s="146" t="str">
        <f>IF(C141="","",VLOOKUP('Opći dio'!$C$3,'Opći dio'!$L$6:$U$136,9,FALSE))</f>
        <v/>
      </c>
      <c r="C141" s="152"/>
      <c r="D141" s="147" t="str">
        <f t="shared" si="25"/>
        <v/>
      </c>
      <c r="E141" s="152"/>
      <c r="F141" s="147" t="str">
        <f t="shared" si="26"/>
        <v/>
      </c>
      <c r="G141" s="199"/>
      <c r="H141" s="147" t="str">
        <f t="shared" si="27"/>
        <v/>
      </c>
      <c r="I141" s="196"/>
      <c r="J141" s="196"/>
      <c r="K141" s="196"/>
      <c r="M141" s="142" t="str">
        <f t="shared" si="28"/>
        <v/>
      </c>
      <c r="N141" s="142" t="str">
        <f t="shared" si="29"/>
        <v/>
      </c>
      <c r="X141" t="s">
        <v>1445</v>
      </c>
      <c r="Y141" t="s">
        <v>1446</v>
      </c>
    </row>
    <row r="142" spans="1:25">
      <c r="A142" s="146" t="str">
        <f>IF(C142="","",VLOOKUP('Opći dio'!$C$3,'Opći dio'!$L$6:$U$136,10,FALSE))</f>
        <v/>
      </c>
      <c r="B142" s="146" t="str">
        <f>IF(C142="","",VLOOKUP('Opći dio'!$C$3,'Opći dio'!$L$6:$U$136,9,FALSE))</f>
        <v/>
      </c>
      <c r="C142" s="152"/>
      <c r="D142" s="147" t="str">
        <f t="shared" si="25"/>
        <v/>
      </c>
      <c r="E142" s="152"/>
      <c r="F142" s="147" t="str">
        <f t="shared" si="26"/>
        <v/>
      </c>
      <c r="G142" s="199"/>
      <c r="H142" s="147" t="str">
        <f t="shared" si="27"/>
        <v/>
      </c>
      <c r="I142" s="196"/>
      <c r="J142" s="196"/>
      <c r="K142" s="196"/>
      <c r="M142" s="142" t="str">
        <f t="shared" si="28"/>
        <v/>
      </c>
      <c r="N142" s="142" t="str">
        <f t="shared" si="29"/>
        <v/>
      </c>
      <c r="X142" t="s">
        <v>1281</v>
      </c>
      <c r="Y142" t="s">
        <v>510</v>
      </c>
    </row>
    <row r="143" spans="1:25">
      <c r="A143" s="146" t="str">
        <f>IF(C143="","",VLOOKUP('Opći dio'!$C$3,'Opći dio'!$L$6:$U$136,10,FALSE))</f>
        <v/>
      </c>
      <c r="B143" s="146" t="str">
        <f>IF(C143="","",VLOOKUP('Opći dio'!$C$3,'Opći dio'!$L$6:$U$136,9,FALSE))</f>
        <v/>
      </c>
      <c r="C143" s="152"/>
      <c r="D143" s="147" t="str">
        <f t="shared" si="25"/>
        <v/>
      </c>
      <c r="E143" s="152"/>
      <c r="F143" s="147" t="str">
        <f t="shared" si="26"/>
        <v/>
      </c>
      <c r="G143" s="199"/>
      <c r="H143" s="147" t="str">
        <f t="shared" si="27"/>
        <v/>
      </c>
      <c r="I143" s="196"/>
      <c r="J143" s="196"/>
      <c r="K143" s="196"/>
      <c r="M143" s="142" t="str">
        <f t="shared" si="28"/>
        <v/>
      </c>
      <c r="N143" s="142" t="str">
        <f t="shared" si="29"/>
        <v/>
      </c>
      <c r="X143" t="s">
        <v>1373</v>
      </c>
      <c r="Y143" t="s">
        <v>1374</v>
      </c>
    </row>
    <row r="144" spans="1:25">
      <c r="A144" s="146" t="str">
        <f>IF(C144="","",VLOOKUP('Opći dio'!$C$3,'Opći dio'!$L$6:$U$136,10,FALSE))</f>
        <v/>
      </c>
      <c r="B144" s="146" t="str">
        <f>IF(C144="","",VLOOKUP('Opći dio'!$C$3,'Opći dio'!$L$6:$U$136,9,FALSE))</f>
        <v/>
      </c>
      <c r="C144" s="152"/>
      <c r="D144" s="147" t="str">
        <f t="shared" si="25"/>
        <v/>
      </c>
      <c r="E144" s="152"/>
      <c r="F144" s="147" t="str">
        <f t="shared" si="26"/>
        <v/>
      </c>
      <c r="G144" s="199"/>
      <c r="H144" s="147" t="str">
        <f t="shared" si="27"/>
        <v/>
      </c>
      <c r="I144" s="196"/>
      <c r="J144" s="196"/>
      <c r="K144" s="196"/>
      <c r="M144" s="142" t="str">
        <f t="shared" si="28"/>
        <v/>
      </c>
      <c r="N144" s="142" t="str">
        <f t="shared" si="29"/>
        <v/>
      </c>
      <c r="X144" t="s">
        <v>1326</v>
      </c>
      <c r="Y144" t="s">
        <v>874</v>
      </c>
    </row>
    <row r="145" spans="1:25">
      <c r="A145" s="146" t="str">
        <f>IF(C145="","",VLOOKUP('Opći dio'!$C$3,'Opći dio'!$L$6:$U$136,10,FALSE))</f>
        <v/>
      </c>
      <c r="B145" s="146" t="str">
        <f>IF(C145="","",VLOOKUP('Opći dio'!$C$3,'Opći dio'!$L$6:$U$136,9,FALSE))</f>
        <v/>
      </c>
      <c r="C145" s="152"/>
      <c r="D145" s="147" t="str">
        <f t="shared" si="25"/>
        <v/>
      </c>
      <c r="E145" s="152"/>
      <c r="F145" s="147" t="str">
        <f t="shared" si="26"/>
        <v/>
      </c>
      <c r="G145" s="199"/>
      <c r="H145" s="147" t="str">
        <f t="shared" si="27"/>
        <v/>
      </c>
      <c r="I145" s="196"/>
      <c r="J145" s="196"/>
      <c r="K145" s="196"/>
      <c r="M145" s="142" t="str">
        <f t="shared" si="28"/>
        <v/>
      </c>
      <c r="N145" s="142" t="str">
        <f t="shared" si="29"/>
        <v/>
      </c>
      <c r="X145" t="s">
        <v>1472</v>
      </c>
      <c r="Y145" t="s">
        <v>1473</v>
      </c>
    </row>
    <row r="146" spans="1:25">
      <c r="A146" s="146" t="str">
        <f>IF(C146="","",VLOOKUP('Opći dio'!$C$3,'Opći dio'!$L$6:$U$136,10,FALSE))</f>
        <v/>
      </c>
      <c r="B146" s="146" t="str">
        <f>IF(C146="","",VLOOKUP('Opći dio'!$C$3,'Opći dio'!$L$6:$U$136,9,FALSE))</f>
        <v/>
      </c>
      <c r="C146" s="152"/>
      <c r="D146" s="147" t="str">
        <f t="shared" si="25"/>
        <v/>
      </c>
      <c r="E146" s="152"/>
      <c r="F146" s="147" t="str">
        <f t="shared" si="26"/>
        <v/>
      </c>
      <c r="G146" s="199"/>
      <c r="H146" s="147" t="str">
        <f t="shared" si="27"/>
        <v/>
      </c>
      <c r="I146" s="196"/>
      <c r="J146" s="196"/>
      <c r="K146" s="196"/>
      <c r="M146" s="142" t="str">
        <f t="shared" si="28"/>
        <v/>
      </c>
      <c r="N146" s="142" t="str">
        <f t="shared" si="29"/>
        <v/>
      </c>
      <c r="X146" t="s">
        <v>867</v>
      </c>
      <c r="Y146" t="s">
        <v>868</v>
      </c>
    </row>
    <row r="147" spans="1:25">
      <c r="A147" s="146" t="str">
        <f>IF(C147="","",VLOOKUP('Opći dio'!$C$3,'Opći dio'!$L$6:$U$136,10,FALSE))</f>
        <v/>
      </c>
      <c r="B147" s="146" t="str">
        <f>IF(C147="","",VLOOKUP('Opći dio'!$C$3,'Opći dio'!$L$6:$U$136,9,FALSE))</f>
        <v/>
      </c>
      <c r="C147" s="152"/>
      <c r="D147" s="147" t="str">
        <f t="shared" si="25"/>
        <v/>
      </c>
      <c r="E147" s="152"/>
      <c r="F147" s="147" t="str">
        <f t="shared" si="26"/>
        <v/>
      </c>
      <c r="G147" s="199"/>
      <c r="H147" s="147" t="str">
        <f t="shared" si="27"/>
        <v/>
      </c>
      <c r="I147" s="196"/>
      <c r="J147" s="196"/>
      <c r="K147" s="196"/>
      <c r="M147" s="142" t="str">
        <f t="shared" si="28"/>
        <v/>
      </c>
      <c r="N147" s="142" t="str">
        <f t="shared" si="29"/>
        <v/>
      </c>
      <c r="X147" t="s">
        <v>1447</v>
      </c>
      <c r="Y147" t="s">
        <v>1448</v>
      </c>
    </row>
    <row r="148" spans="1:25">
      <c r="A148" s="146" t="str">
        <f>IF(C148="","",VLOOKUP('Opći dio'!$C$3,'Opći dio'!$L$6:$U$136,10,FALSE))</f>
        <v/>
      </c>
      <c r="B148" s="146" t="str">
        <f>IF(C148="","",VLOOKUP('Opći dio'!$C$3,'Opći dio'!$L$6:$U$136,9,FALSE))</f>
        <v/>
      </c>
      <c r="C148" s="152"/>
      <c r="D148" s="147" t="str">
        <f t="shared" si="25"/>
        <v/>
      </c>
      <c r="E148" s="152"/>
      <c r="F148" s="147" t="str">
        <f t="shared" si="26"/>
        <v/>
      </c>
      <c r="G148" s="199"/>
      <c r="H148" s="147" t="str">
        <f t="shared" si="27"/>
        <v/>
      </c>
      <c r="I148" s="196"/>
      <c r="J148" s="196"/>
      <c r="K148" s="196"/>
      <c r="M148" s="142" t="str">
        <f t="shared" si="28"/>
        <v/>
      </c>
      <c r="N148" s="142" t="str">
        <f t="shared" si="29"/>
        <v/>
      </c>
      <c r="X148" t="s">
        <v>1449</v>
      </c>
      <c r="Y148" t="s">
        <v>1450</v>
      </c>
    </row>
    <row r="149" spans="1:25">
      <c r="A149" s="146" t="str">
        <f>IF(C149="","",VLOOKUP('Opći dio'!$C$3,'Opći dio'!$L$6:$U$136,10,FALSE))</f>
        <v/>
      </c>
      <c r="B149" s="146" t="str">
        <f>IF(C149="","",VLOOKUP('Opći dio'!$C$3,'Opći dio'!$L$6:$U$136,9,FALSE))</f>
        <v/>
      </c>
      <c r="C149" s="152"/>
      <c r="D149" s="147" t="str">
        <f t="shared" si="25"/>
        <v/>
      </c>
      <c r="E149" s="152"/>
      <c r="F149" s="147" t="str">
        <f t="shared" si="26"/>
        <v/>
      </c>
      <c r="G149" s="199"/>
      <c r="H149" s="147" t="str">
        <f t="shared" si="27"/>
        <v/>
      </c>
      <c r="I149" s="196"/>
      <c r="J149" s="196"/>
      <c r="K149" s="196"/>
      <c r="M149" s="142" t="str">
        <f t="shared" si="28"/>
        <v/>
      </c>
      <c r="N149" s="142" t="str">
        <f t="shared" si="29"/>
        <v/>
      </c>
      <c r="X149" t="s">
        <v>1345</v>
      </c>
      <c r="Y149" t="s">
        <v>1346</v>
      </c>
    </row>
    <row r="150" spans="1:25">
      <c r="A150" s="146" t="str">
        <f>IF(C150="","",VLOOKUP('Opći dio'!$C$3,'Opći dio'!$L$6:$U$136,10,FALSE))</f>
        <v/>
      </c>
      <c r="B150" s="146" t="str">
        <f>IF(C150="","",VLOOKUP('Opći dio'!$C$3,'Opći dio'!$L$6:$U$136,9,FALSE))</f>
        <v/>
      </c>
      <c r="C150" s="152"/>
      <c r="D150" s="147" t="str">
        <f t="shared" si="25"/>
        <v/>
      </c>
      <c r="E150" s="152"/>
      <c r="F150" s="147" t="str">
        <f t="shared" si="26"/>
        <v/>
      </c>
      <c r="G150" s="199"/>
      <c r="H150" s="147" t="str">
        <f t="shared" si="27"/>
        <v/>
      </c>
      <c r="I150" s="196"/>
      <c r="J150" s="196"/>
      <c r="K150" s="196"/>
      <c r="M150" s="142" t="str">
        <f t="shared" si="28"/>
        <v/>
      </c>
      <c r="N150" s="142" t="str">
        <f t="shared" si="29"/>
        <v/>
      </c>
      <c r="X150" t="s">
        <v>889</v>
      </c>
      <c r="Y150" t="s">
        <v>874</v>
      </c>
    </row>
    <row r="151" spans="1:25">
      <c r="A151" s="146" t="str">
        <f>IF(C151="","",VLOOKUP('Opći dio'!$C$3,'Opći dio'!$L$6:$U$136,10,FALSE))</f>
        <v/>
      </c>
      <c r="B151" s="146" t="str">
        <f>IF(C151="","",VLOOKUP('Opći dio'!$C$3,'Opći dio'!$L$6:$U$136,9,FALSE))</f>
        <v/>
      </c>
      <c r="C151" s="152"/>
      <c r="D151" s="147" t="str">
        <f t="shared" si="25"/>
        <v/>
      </c>
      <c r="E151" s="152"/>
      <c r="F151" s="147" t="str">
        <f t="shared" si="26"/>
        <v/>
      </c>
      <c r="G151" s="199"/>
      <c r="H151" s="147" t="str">
        <f t="shared" si="27"/>
        <v/>
      </c>
      <c r="I151" s="196"/>
      <c r="J151" s="196"/>
      <c r="K151" s="196"/>
      <c r="M151" s="142" t="str">
        <f t="shared" si="28"/>
        <v/>
      </c>
      <c r="N151" s="142" t="str">
        <f t="shared" si="29"/>
        <v/>
      </c>
      <c r="X151" t="s">
        <v>1393</v>
      </c>
      <c r="Y151" t="s">
        <v>1394</v>
      </c>
    </row>
    <row r="152" spans="1:25">
      <c r="A152" s="146" t="str">
        <f>IF(C152="","",VLOOKUP('Opći dio'!$C$3,'Opći dio'!$L$6:$U$136,10,FALSE))</f>
        <v/>
      </c>
      <c r="B152" s="146" t="str">
        <f>IF(C152="","",VLOOKUP('Opći dio'!$C$3,'Opći dio'!$L$6:$U$136,9,FALSE))</f>
        <v/>
      </c>
      <c r="C152" s="152"/>
      <c r="D152" s="147" t="str">
        <f t="shared" si="25"/>
        <v/>
      </c>
      <c r="E152" s="152"/>
      <c r="F152" s="147" t="str">
        <f t="shared" si="26"/>
        <v/>
      </c>
      <c r="G152" s="199"/>
      <c r="H152" s="147" t="str">
        <f t="shared" si="27"/>
        <v/>
      </c>
      <c r="I152" s="196"/>
      <c r="J152" s="196"/>
      <c r="K152" s="196"/>
      <c r="M152" s="142" t="str">
        <f t="shared" si="28"/>
        <v/>
      </c>
      <c r="N152" s="142" t="str">
        <f t="shared" si="29"/>
        <v/>
      </c>
      <c r="X152" t="s">
        <v>1476</v>
      </c>
      <c r="Y152" t="s">
        <v>1477</v>
      </c>
    </row>
    <row r="153" spans="1:25">
      <c r="A153" s="146" t="str">
        <f>IF(C153="","",VLOOKUP('Opći dio'!$C$3,'Opći dio'!$L$6:$U$136,10,FALSE))</f>
        <v/>
      </c>
      <c r="B153" s="146" t="str">
        <f>IF(C153="","",VLOOKUP('Opći dio'!$C$3,'Opći dio'!$L$6:$U$136,9,FALSE))</f>
        <v/>
      </c>
      <c r="C153" s="152"/>
      <c r="D153" s="147" t="str">
        <f t="shared" si="25"/>
        <v/>
      </c>
      <c r="E153" s="152"/>
      <c r="F153" s="147" t="str">
        <f t="shared" si="26"/>
        <v/>
      </c>
      <c r="G153" s="199"/>
      <c r="H153" s="147" t="str">
        <f t="shared" si="27"/>
        <v/>
      </c>
      <c r="I153" s="196"/>
      <c r="J153" s="196"/>
      <c r="K153" s="196"/>
      <c r="M153" s="142" t="str">
        <f t="shared" si="28"/>
        <v/>
      </c>
      <c r="N153" s="142" t="str">
        <f t="shared" si="29"/>
        <v/>
      </c>
      <c r="X153" t="s">
        <v>1375</v>
      </c>
      <c r="Y153" t="s">
        <v>1376</v>
      </c>
    </row>
    <row r="154" spans="1:25">
      <c r="A154" s="146" t="str">
        <f>IF(C154="","",VLOOKUP('Opći dio'!$C$3,'Opći dio'!$L$6:$U$136,10,FALSE))</f>
        <v/>
      </c>
      <c r="B154" s="146" t="str">
        <f>IF(C154="","",VLOOKUP('Opći dio'!$C$3,'Opći dio'!$L$6:$U$136,9,FALSE))</f>
        <v/>
      </c>
      <c r="C154" s="152"/>
      <c r="D154" s="147" t="str">
        <f t="shared" si="25"/>
        <v/>
      </c>
      <c r="E154" s="152"/>
      <c r="F154" s="147" t="str">
        <f t="shared" si="26"/>
        <v/>
      </c>
      <c r="G154" s="199"/>
      <c r="H154" s="147" t="str">
        <f t="shared" si="27"/>
        <v/>
      </c>
      <c r="I154" s="196"/>
      <c r="J154" s="196"/>
      <c r="K154" s="196"/>
      <c r="M154" s="142" t="str">
        <f t="shared" si="28"/>
        <v/>
      </c>
      <c r="N154" s="142" t="str">
        <f t="shared" si="29"/>
        <v/>
      </c>
      <c r="X154" t="s">
        <v>1377</v>
      </c>
      <c r="Y154" t="s">
        <v>1378</v>
      </c>
    </row>
    <row r="155" spans="1:25">
      <c r="A155" s="146" t="str">
        <f>IF(C155="","",VLOOKUP('Opći dio'!$C$3,'Opći dio'!$L$6:$U$136,10,FALSE))</f>
        <v/>
      </c>
      <c r="B155" s="146" t="str">
        <f>IF(C155="","",VLOOKUP('Opći dio'!$C$3,'Opći dio'!$L$6:$U$136,9,FALSE))</f>
        <v/>
      </c>
      <c r="C155" s="152"/>
      <c r="D155" s="147" t="str">
        <f t="shared" si="25"/>
        <v/>
      </c>
      <c r="E155" s="152"/>
      <c r="F155" s="147" t="str">
        <f t="shared" si="26"/>
        <v/>
      </c>
      <c r="G155" s="199"/>
      <c r="H155" s="147" t="str">
        <f t="shared" si="27"/>
        <v/>
      </c>
      <c r="I155" s="196"/>
      <c r="J155" s="196"/>
      <c r="K155" s="196"/>
      <c r="M155" s="142" t="str">
        <f t="shared" si="28"/>
        <v/>
      </c>
      <c r="N155" s="142" t="str">
        <f t="shared" si="29"/>
        <v/>
      </c>
      <c r="X155" t="s">
        <v>1379</v>
      </c>
      <c r="Y155" t="s">
        <v>1380</v>
      </c>
    </row>
    <row r="156" spans="1:25">
      <c r="A156" s="146" t="str">
        <f>IF(C156="","",VLOOKUP('Opći dio'!$C$3,'Opći dio'!$L$6:$U$136,10,FALSE))</f>
        <v/>
      </c>
      <c r="B156" s="146" t="str">
        <f>IF(C156="","",VLOOKUP('Opći dio'!$C$3,'Opći dio'!$L$6:$U$136,9,FALSE))</f>
        <v/>
      </c>
      <c r="C156" s="152"/>
      <c r="D156" s="147" t="str">
        <f t="shared" si="25"/>
        <v/>
      </c>
      <c r="E156" s="152"/>
      <c r="F156" s="147" t="str">
        <f t="shared" si="26"/>
        <v/>
      </c>
      <c r="G156" s="199"/>
      <c r="H156" s="147" t="str">
        <f t="shared" si="27"/>
        <v/>
      </c>
      <c r="I156" s="196"/>
      <c r="J156" s="196"/>
      <c r="K156" s="196"/>
      <c r="M156" s="142" t="str">
        <f t="shared" si="28"/>
        <v/>
      </c>
      <c r="N156" s="142" t="str">
        <f t="shared" si="29"/>
        <v/>
      </c>
      <c r="X156" t="s">
        <v>1395</v>
      </c>
      <c r="Y156" t="s">
        <v>1396</v>
      </c>
    </row>
    <row r="157" spans="1:25">
      <c r="A157" s="146" t="str">
        <f>IF(C157="","",VLOOKUP('Opći dio'!$C$3,'Opći dio'!$L$6:$U$136,10,FALSE))</f>
        <v/>
      </c>
      <c r="B157" s="146" t="str">
        <f>IF(C157="","",VLOOKUP('Opći dio'!$C$3,'Opći dio'!$L$6:$U$136,9,FALSE))</f>
        <v/>
      </c>
      <c r="C157" s="152"/>
      <c r="D157" s="147" t="str">
        <f t="shared" si="25"/>
        <v/>
      </c>
      <c r="E157" s="152"/>
      <c r="F157" s="147" t="str">
        <f t="shared" si="26"/>
        <v/>
      </c>
      <c r="G157" s="199"/>
      <c r="H157" s="147" t="str">
        <f t="shared" si="27"/>
        <v/>
      </c>
      <c r="I157" s="196"/>
      <c r="J157" s="196"/>
      <c r="K157" s="196"/>
      <c r="M157" s="142" t="str">
        <f t="shared" si="28"/>
        <v/>
      </c>
      <c r="N157" s="142" t="str">
        <f t="shared" si="29"/>
        <v/>
      </c>
      <c r="X157" t="s">
        <v>1397</v>
      </c>
      <c r="Y157" t="s">
        <v>1398</v>
      </c>
    </row>
    <row r="158" spans="1:25">
      <c r="A158" s="146" t="str">
        <f>IF(C158="","",VLOOKUP('Opći dio'!$C$3,'Opći dio'!$L$6:$U$136,10,FALSE))</f>
        <v/>
      </c>
      <c r="B158" s="146" t="str">
        <f>IF(C158="","",VLOOKUP('Opći dio'!$C$3,'Opći dio'!$L$6:$U$136,9,FALSE))</f>
        <v/>
      </c>
      <c r="C158" s="152"/>
      <c r="D158" s="147" t="str">
        <f t="shared" si="25"/>
        <v/>
      </c>
      <c r="E158" s="152"/>
      <c r="F158" s="147" t="str">
        <f t="shared" si="26"/>
        <v/>
      </c>
      <c r="G158" s="199"/>
      <c r="H158" s="147" t="str">
        <f t="shared" si="27"/>
        <v/>
      </c>
      <c r="I158" s="196"/>
      <c r="J158" s="196"/>
      <c r="K158" s="196"/>
      <c r="M158" s="142" t="str">
        <f t="shared" si="28"/>
        <v/>
      </c>
      <c r="N158" s="142" t="str">
        <f t="shared" si="29"/>
        <v/>
      </c>
      <c r="X158" t="s">
        <v>286</v>
      </c>
      <c r="Y158" t="s">
        <v>874</v>
      </c>
    </row>
    <row r="159" spans="1:25">
      <c r="A159" s="146" t="str">
        <f>IF(C159="","",VLOOKUP('Opći dio'!$C$3,'Opći dio'!$L$6:$U$136,10,FALSE))</f>
        <v/>
      </c>
      <c r="B159" s="146" t="str">
        <f>IF(C159="","",VLOOKUP('Opći dio'!$C$3,'Opći dio'!$L$6:$U$136,9,FALSE))</f>
        <v/>
      </c>
      <c r="C159" s="152"/>
      <c r="D159" s="147" t="str">
        <f t="shared" si="25"/>
        <v/>
      </c>
      <c r="E159" s="152"/>
      <c r="F159" s="147" t="str">
        <f t="shared" si="26"/>
        <v/>
      </c>
      <c r="G159" s="199"/>
      <c r="H159" s="147" t="str">
        <f t="shared" si="27"/>
        <v/>
      </c>
      <c r="I159" s="196"/>
      <c r="J159" s="196"/>
      <c r="K159" s="196"/>
      <c r="M159" s="142" t="str">
        <f t="shared" si="28"/>
        <v/>
      </c>
      <c r="N159" s="142" t="str">
        <f t="shared" si="29"/>
        <v/>
      </c>
      <c r="X159" t="s">
        <v>875</v>
      </c>
      <c r="Y159" t="s">
        <v>876</v>
      </c>
    </row>
    <row r="160" spans="1:25">
      <c r="A160" s="146" t="str">
        <f>IF(C160="","",VLOOKUP('Opći dio'!$C$3,'Opći dio'!$L$6:$U$136,10,FALSE))</f>
        <v/>
      </c>
      <c r="B160" s="146" t="str">
        <f>IF(C160="","",VLOOKUP('Opći dio'!$C$3,'Opći dio'!$L$6:$U$136,9,FALSE))</f>
        <v/>
      </c>
      <c r="C160" s="152"/>
      <c r="D160" s="147" t="str">
        <f t="shared" si="25"/>
        <v/>
      </c>
      <c r="E160" s="152"/>
      <c r="F160" s="147" t="str">
        <f t="shared" si="26"/>
        <v/>
      </c>
      <c r="G160" s="199"/>
      <c r="H160" s="147" t="str">
        <f t="shared" si="27"/>
        <v/>
      </c>
      <c r="I160" s="196"/>
      <c r="J160" s="196"/>
      <c r="K160" s="196"/>
      <c r="M160" s="142" t="str">
        <f t="shared" si="28"/>
        <v/>
      </c>
      <c r="N160" s="142" t="str">
        <f t="shared" si="29"/>
        <v/>
      </c>
      <c r="X160" t="s">
        <v>877</v>
      </c>
      <c r="Y160" t="s">
        <v>878</v>
      </c>
    </row>
    <row r="161" spans="1:25">
      <c r="A161" s="146" t="str">
        <f>IF(C161="","",VLOOKUP('Opći dio'!$C$3,'Opći dio'!$L$6:$U$136,10,FALSE))</f>
        <v/>
      </c>
      <c r="B161" s="146" t="str">
        <f>IF(C161="","",VLOOKUP('Opći dio'!$C$3,'Opći dio'!$L$6:$U$136,9,FALSE))</f>
        <v/>
      </c>
      <c r="C161" s="152"/>
      <c r="D161" s="147" t="str">
        <f t="shared" si="25"/>
        <v/>
      </c>
      <c r="E161" s="152"/>
      <c r="F161" s="147" t="str">
        <f t="shared" si="26"/>
        <v/>
      </c>
      <c r="G161" s="199"/>
      <c r="H161" s="147" t="str">
        <f t="shared" si="27"/>
        <v/>
      </c>
      <c r="I161" s="196"/>
      <c r="J161" s="196"/>
      <c r="K161" s="196"/>
      <c r="M161" s="142" t="str">
        <f t="shared" si="28"/>
        <v/>
      </c>
      <c r="N161" s="142" t="str">
        <f t="shared" si="29"/>
        <v/>
      </c>
      <c r="X161" t="s">
        <v>1308</v>
      </c>
      <c r="Y161" t="s">
        <v>878</v>
      </c>
    </row>
    <row r="162" spans="1:25">
      <c r="A162" s="146" t="str">
        <f>IF(C162="","",VLOOKUP('Opći dio'!$C$3,'Opći dio'!$L$6:$U$136,10,FALSE))</f>
        <v/>
      </c>
      <c r="B162" s="146" t="str">
        <f>IF(C162="","",VLOOKUP('Opći dio'!$C$3,'Opći dio'!$L$6:$U$136,9,FALSE))</f>
        <v/>
      </c>
      <c r="C162" s="152"/>
      <c r="D162" s="147" t="str">
        <f t="shared" si="25"/>
        <v/>
      </c>
      <c r="E162" s="152"/>
      <c r="F162" s="147" t="str">
        <f t="shared" si="26"/>
        <v/>
      </c>
      <c r="G162" s="199"/>
      <c r="H162" s="147" t="str">
        <f t="shared" si="27"/>
        <v/>
      </c>
      <c r="I162" s="196"/>
      <c r="J162" s="196"/>
      <c r="K162" s="196"/>
      <c r="M162" s="142" t="str">
        <f t="shared" si="28"/>
        <v/>
      </c>
      <c r="N162" s="142" t="str">
        <f t="shared" si="29"/>
        <v/>
      </c>
      <c r="X162" t="s">
        <v>1474</v>
      </c>
      <c r="Y162" t="s">
        <v>1475</v>
      </c>
    </row>
    <row r="163" spans="1:25">
      <c r="A163" s="146" t="str">
        <f>IF(C163="","",VLOOKUP('Opći dio'!$C$3,'Opći dio'!$L$6:$U$136,10,FALSE))</f>
        <v/>
      </c>
      <c r="B163" s="146" t="str">
        <f>IF(C163="","",VLOOKUP('Opći dio'!$C$3,'Opći dio'!$L$6:$U$136,9,FALSE))</f>
        <v/>
      </c>
      <c r="C163" s="152"/>
      <c r="D163" s="147" t="str">
        <f t="shared" si="25"/>
        <v/>
      </c>
      <c r="E163" s="152"/>
      <c r="F163" s="147" t="str">
        <f t="shared" si="26"/>
        <v/>
      </c>
      <c r="G163" s="199"/>
      <c r="H163" s="147" t="str">
        <f t="shared" si="27"/>
        <v/>
      </c>
      <c r="I163" s="196"/>
      <c r="J163" s="196"/>
      <c r="K163" s="196"/>
      <c r="M163" s="142" t="str">
        <f t="shared" si="28"/>
        <v/>
      </c>
      <c r="N163" s="142" t="str">
        <f t="shared" si="29"/>
        <v/>
      </c>
      <c r="X163" t="s">
        <v>1309</v>
      </c>
      <c r="Y163" t="s">
        <v>876</v>
      </c>
    </row>
    <row r="164" spans="1:25">
      <c r="A164" s="146" t="str">
        <f>IF(C164="","",VLOOKUP('Opći dio'!$C$3,'Opći dio'!$L$6:$U$136,10,FALSE))</f>
        <v/>
      </c>
      <c r="B164" s="146" t="str">
        <f>IF(C164="","",VLOOKUP('Opći dio'!$C$3,'Opći dio'!$L$6:$U$136,9,FALSE))</f>
        <v/>
      </c>
      <c r="C164" s="152"/>
      <c r="D164" s="147" t="str">
        <f t="shared" si="25"/>
        <v/>
      </c>
      <c r="E164" s="152"/>
      <c r="F164" s="147" t="str">
        <f t="shared" si="26"/>
        <v/>
      </c>
      <c r="G164" s="199"/>
      <c r="H164" s="147" t="str">
        <f t="shared" si="27"/>
        <v/>
      </c>
      <c r="I164" s="196"/>
      <c r="J164" s="196"/>
      <c r="K164" s="196"/>
      <c r="M164" s="142" t="str">
        <f t="shared" si="28"/>
        <v/>
      </c>
      <c r="N164" s="142" t="str">
        <f t="shared" si="29"/>
        <v/>
      </c>
      <c r="X164" t="s">
        <v>1546</v>
      </c>
      <c r="Y164" t="s">
        <v>1547</v>
      </c>
    </row>
    <row r="165" spans="1:25">
      <c r="A165" s="146" t="str">
        <f>IF(C165="","",VLOOKUP('Opći dio'!$C$3,'Opći dio'!$L$6:$U$136,10,FALSE))</f>
        <v/>
      </c>
      <c r="B165" s="146" t="str">
        <f>IF(C165="","",VLOOKUP('Opći dio'!$C$3,'Opći dio'!$L$6:$U$136,9,FALSE))</f>
        <v/>
      </c>
      <c r="C165" s="152"/>
      <c r="D165" s="147" t="str">
        <f t="shared" si="25"/>
        <v/>
      </c>
      <c r="E165" s="152"/>
      <c r="F165" s="147" t="str">
        <f t="shared" si="26"/>
        <v/>
      </c>
      <c r="G165" s="199"/>
      <c r="H165" s="147" t="str">
        <f t="shared" si="27"/>
        <v/>
      </c>
      <c r="I165" s="196"/>
      <c r="J165" s="196"/>
      <c r="K165" s="196"/>
      <c r="M165" s="142" t="str">
        <f t="shared" si="28"/>
        <v/>
      </c>
      <c r="N165" s="142" t="str">
        <f t="shared" si="29"/>
        <v/>
      </c>
      <c r="X165" t="s">
        <v>1548</v>
      </c>
      <c r="Y165" t="s">
        <v>876</v>
      </c>
    </row>
    <row r="166" spans="1:25">
      <c r="A166" s="146" t="str">
        <f>IF(C166="","",VLOOKUP('Opći dio'!$C$3,'Opći dio'!$L$6:$U$136,10,FALSE))</f>
        <v/>
      </c>
      <c r="B166" s="146" t="str">
        <f>IF(C166="","",VLOOKUP('Opći dio'!$C$3,'Opći dio'!$L$6:$U$136,9,FALSE))</f>
        <v/>
      </c>
      <c r="C166" s="152"/>
      <c r="D166" s="147" t="str">
        <f t="shared" si="25"/>
        <v/>
      </c>
      <c r="E166" s="152"/>
      <c r="F166" s="147" t="str">
        <f t="shared" si="26"/>
        <v/>
      </c>
      <c r="G166" s="199"/>
      <c r="H166" s="147" t="str">
        <f t="shared" si="27"/>
        <v/>
      </c>
      <c r="I166" s="196"/>
      <c r="J166" s="196"/>
      <c r="K166" s="196"/>
      <c r="M166" s="142" t="str">
        <f t="shared" si="28"/>
        <v/>
      </c>
      <c r="N166" s="142" t="str">
        <f t="shared" si="29"/>
        <v/>
      </c>
      <c r="X166" t="s">
        <v>1451</v>
      </c>
      <c r="Y166" t="s">
        <v>876</v>
      </c>
    </row>
    <row r="167" spans="1:25">
      <c r="A167" s="146" t="str">
        <f>IF(C167="","",VLOOKUP('Opći dio'!$C$3,'Opći dio'!$L$6:$U$136,10,FALSE))</f>
        <v/>
      </c>
      <c r="B167" s="146" t="str">
        <f>IF(C167="","",VLOOKUP('Opći dio'!$C$3,'Opći dio'!$L$6:$U$136,9,FALSE))</f>
        <v/>
      </c>
      <c r="C167" s="152"/>
      <c r="D167" s="147" t="str">
        <f t="shared" si="25"/>
        <v/>
      </c>
      <c r="E167" s="152"/>
      <c r="F167" s="147" t="str">
        <f t="shared" si="26"/>
        <v/>
      </c>
      <c r="G167" s="199"/>
      <c r="H167" s="147" t="str">
        <f t="shared" si="27"/>
        <v/>
      </c>
      <c r="I167" s="196"/>
      <c r="J167" s="196"/>
      <c r="K167" s="196"/>
      <c r="M167" s="142" t="str">
        <f t="shared" si="28"/>
        <v/>
      </c>
      <c r="N167" s="142" t="str">
        <f t="shared" si="29"/>
        <v/>
      </c>
      <c r="X167" t="s">
        <v>1452</v>
      </c>
      <c r="Y167" t="s">
        <v>1453</v>
      </c>
    </row>
    <row r="168" spans="1:25">
      <c r="A168" s="146" t="str">
        <f>IF(C168="","",VLOOKUP('Opći dio'!$C$3,'Opći dio'!$L$6:$U$136,10,FALSE))</f>
        <v/>
      </c>
      <c r="B168" s="146" t="str">
        <f>IF(C168="","",VLOOKUP('Opći dio'!$C$3,'Opći dio'!$L$6:$U$136,9,FALSE))</f>
        <v/>
      </c>
      <c r="C168" s="152"/>
      <c r="D168" s="147" t="str">
        <f t="shared" si="25"/>
        <v/>
      </c>
      <c r="E168" s="152"/>
      <c r="F168" s="147" t="str">
        <f t="shared" si="26"/>
        <v/>
      </c>
      <c r="G168" s="199"/>
      <c r="H168" s="147" t="str">
        <f t="shared" si="27"/>
        <v/>
      </c>
      <c r="I168" s="196"/>
      <c r="J168" s="196"/>
      <c r="K168" s="196"/>
      <c r="M168" s="142" t="str">
        <f t="shared" si="28"/>
        <v/>
      </c>
      <c r="N168" s="142" t="str">
        <f t="shared" si="29"/>
        <v/>
      </c>
      <c r="X168" t="s">
        <v>1335</v>
      </c>
      <c r="Y168" t="s">
        <v>1336</v>
      </c>
    </row>
    <row r="169" spans="1:25">
      <c r="A169" s="146" t="str">
        <f>IF(C169="","",VLOOKUP('Opći dio'!$C$3,'Opći dio'!$L$6:$U$136,10,FALSE))</f>
        <v/>
      </c>
      <c r="B169" s="146" t="str">
        <f>IF(C169="","",VLOOKUP('Opći dio'!$C$3,'Opći dio'!$L$6:$U$136,9,FALSE))</f>
        <v/>
      </c>
      <c r="C169" s="152"/>
      <c r="D169" s="147" t="str">
        <f t="shared" si="25"/>
        <v/>
      </c>
      <c r="E169" s="152"/>
      <c r="F169" s="147" t="str">
        <f t="shared" si="26"/>
        <v/>
      </c>
      <c r="G169" s="199"/>
      <c r="H169" s="147" t="str">
        <f t="shared" si="27"/>
        <v/>
      </c>
      <c r="I169" s="196"/>
      <c r="J169" s="196"/>
      <c r="K169" s="196"/>
      <c r="M169" s="142" t="str">
        <f t="shared" si="28"/>
        <v/>
      </c>
      <c r="N169" s="142" t="str">
        <f t="shared" si="29"/>
        <v/>
      </c>
      <c r="X169" t="s">
        <v>1310</v>
      </c>
      <c r="Y169" t="s">
        <v>1311</v>
      </c>
    </row>
    <row r="170" spans="1:25">
      <c r="A170" s="146" t="str">
        <f>IF(C170="","",VLOOKUP('Opći dio'!$C$3,'Opći dio'!$L$6:$U$136,10,FALSE))</f>
        <v/>
      </c>
      <c r="B170" s="146" t="str">
        <f>IF(C170="","",VLOOKUP('Opći dio'!$C$3,'Opći dio'!$L$6:$U$136,9,FALSE))</f>
        <v/>
      </c>
      <c r="C170" s="152"/>
      <c r="D170" s="147" t="str">
        <f t="shared" si="25"/>
        <v/>
      </c>
      <c r="E170" s="152"/>
      <c r="F170" s="147" t="str">
        <f t="shared" si="26"/>
        <v/>
      </c>
      <c r="G170" s="199"/>
      <c r="H170" s="147" t="str">
        <f t="shared" si="27"/>
        <v/>
      </c>
      <c r="I170" s="196"/>
      <c r="J170" s="196"/>
      <c r="K170" s="196"/>
      <c r="M170" s="142" t="str">
        <f t="shared" si="28"/>
        <v/>
      </c>
      <c r="N170" s="142" t="str">
        <f t="shared" si="29"/>
        <v/>
      </c>
      <c r="X170" t="s">
        <v>1549</v>
      </c>
      <c r="Y170" t="s">
        <v>1550</v>
      </c>
    </row>
    <row r="171" spans="1:25">
      <c r="A171" s="146" t="str">
        <f>IF(C171="","",VLOOKUP('Opći dio'!$C$3,'Opći dio'!$L$6:$U$136,10,FALSE))</f>
        <v/>
      </c>
      <c r="B171" s="146" t="str">
        <f>IF(C171="","",VLOOKUP('Opći dio'!$C$3,'Opći dio'!$L$6:$U$136,9,FALSE))</f>
        <v/>
      </c>
      <c r="C171" s="152"/>
      <c r="D171" s="147" t="str">
        <f t="shared" si="25"/>
        <v/>
      </c>
      <c r="E171" s="152"/>
      <c r="F171" s="147" t="str">
        <f t="shared" si="26"/>
        <v/>
      </c>
      <c r="G171" s="199"/>
      <c r="H171" s="147" t="str">
        <f t="shared" si="27"/>
        <v/>
      </c>
      <c r="I171" s="196"/>
      <c r="J171" s="196"/>
      <c r="K171" s="196"/>
      <c r="M171" s="142" t="str">
        <f t="shared" si="28"/>
        <v/>
      </c>
      <c r="N171" s="142" t="str">
        <f t="shared" si="29"/>
        <v/>
      </c>
      <c r="X171" t="s">
        <v>1454</v>
      </c>
      <c r="Y171" t="s">
        <v>1455</v>
      </c>
    </row>
    <row r="172" spans="1:25">
      <c r="A172" s="146" t="str">
        <f>IF(C172="","",VLOOKUP('Opći dio'!$C$3,'Opći dio'!$L$6:$U$136,10,FALSE))</f>
        <v/>
      </c>
      <c r="B172" s="146" t="str">
        <f>IF(C172="","",VLOOKUP('Opći dio'!$C$3,'Opći dio'!$L$6:$U$136,9,FALSE))</f>
        <v/>
      </c>
      <c r="C172" s="152"/>
      <c r="D172" s="147" t="str">
        <f t="shared" si="25"/>
        <v/>
      </c>
      <c r="E172" s="152"/>
      <c r="F172" s="147" t="str">
        <f t="shared" si="26"/>
        <v/>
      </c>
      <c r="G172" s="199"/>
      <c r="H172" s="147" t="str">
        <f t="shared" si="27"/>
        <v/>
      </c>
      <c r="I172" s="196"/>
      <c r="J172" s="196"/>
      <c r="K172" s="196"/>
      <c r="M172" s="142" t="str">
        <f t="shared" si="28"/>
        <v/>
      </c>
      <c r="N172" s="142" t="str">
        <f t="shared" si="29"/>
        <v/>
      </c>
    </row>
    <row r="173" spans="1:25">
      <c r="A173" s="146" t="str">
        <f>IF(C173="","",VLOOKUP('Opći dio'!$C$3,'Opći dio'!$L$6:$U$136,10,FALSE))</f>
        <v/>
      </c>
      <c r="B173" s="146" t="str">
        <f>IF(C173="","",VLOOKUP('Opći dio'!$C$3,'Opći dio'!$L$6:$U$136,9,FALSE))</f>
        <v/>
      </c>
      <c r="C173" s="152"/>
      <c r="D173" s="147" t="str">
        <f t="shared" si="25"/>
        <v/>
      </c>
      <c r="E173" s="152"/>
      <c r="F173" s="147" t="str">
        <f t="shared" si="26"/>
        <v/>
      </c>
      <c r="G173" s="199"/>
      <c r="H173" s="147" t="str">
        <f t="shared" si="27"/>
        <v/>
      </c>
      <c r="I173" s="196"/>
      <c r="J173" s="196"/>
      <c r="K173" s="196"/>
      <c r="M173" s="142" t="str">
        <f t="shared" si="28"/>
        <v/>
      </c>
      <c r="N173" s="142" t="str">
        <f t="shared" si="29"/>
        <v/>
      </c>
    </row>
    <row r="174" spans="1:25">
      <c r="A174" s="146" t="str">
        <f>IF(C174="","",VLOOKUP('Opći dio'!$C$3,'Opći dio'!$L$6:$U$136,10,FALSE))</f>
        <v/>
      </c>
      <c r="B174" s="146" t="str">
        <f>IF(C174="","",VLOOKUP('Opći dio'!$C$3,'Opći dio'!$L$6:$U$136,9,FALSE))</f>
        <v/>
      </c>
      <c r="C174" s="152"/>
      <c r="D174" s="147" t="str">
        <f t="shared" si="25"/>
        <v/>
      </c>
      <c r="E174" s="152"/>
      <c r="F174" s="147" t="str">
        <f t="shared" si="26"/>
        <v/>
      </c>
      <c r="G174" s="199"/>
      <c r="H174" s="147" t="str">
        <f t="shared" si="27"/>
        <v/>
      </c>
      <c r="I174" s="196"/>
      <c r="J174" s="196"/>
      <c r="K174" s="196"/>
      <c r="M174" s="142" t="str">
        <f t="shared" si="28"/>
        <v/>
      </c>
      <c r="N174" s="142" t="str">
        <f t="shared" si="29"/>
        <v/>
      </c>
    </row>
    <row r="175" spans="1:25">
      <c r="A175" s="146" t="str">
        <f>IF(C175="","",VLOOKUP('Opći dio'!$C$3,'Opći dio'!$L$6:$U$136,10,FALSE))</f>
        <v/>
      </c>
      <c r="B175" s="146" t="str">
        <f>IF(C175="","",VLOOKUP('Opći dio'!$C$3,'Opći dio'!$L$6:$U$136,9,FALSE))</f>
        <v/>
      </c>
      <c r="C175" s="152"/>
      <c r="D175" s="147" t="str">
        <f t="shared" si="25"/>
        <v/>
      </c>
      <c r="E175" s="152"/>
      <c r="F175" s="147" t="str">
        <f t="shared" si="26"/>
        <v/>
      </c>
      <c r="G175" s="199"/>
      <c r="H175" s="147" t="str">
        <f t="shared" si="27"/>
        <v/>
      </c>
      <c r="I175" s="196"/>
      <c r="J175" s="196"/>
      <c r="K175" s="196"/>
      <c r="M175" s="142" t="str">
        <f t="shared" si="28"/>
        <v/>
      </c>
      <c r="N175" s="142" t="str">
        <f t="shared" si="29"/>
        <v/>
      </c>
    </row>
    <row r="176" spans="1:25">
      <c r="A176" s="146" t="str">
        <f>IF(C176="","",VLOOKUP('Opći dio'!$C$3,'Opći dio'!$L$6:$U$136,10,FALSE))</f>
        <v/>
      </c>
      <c r="B176" s="146" t="str">
        <f>IF(C176="","",VLOOKUP('Opći dio'!$C$3,'Opći dio'!$L$6:$U$136,9,FALSE))</f>
        <v/>
      </c>
      <c r="C176" s="152"/>
      <c r="D176" s="147" t="str">
        <f t="shared" si="25"/>
        <v/>
      </c>
      <c r="E176" s="152"/>
      <c r="F176" s="147" t="str">
        <f t="shared" si="26"/>
        <v/>
      </c>
      <c r="G176" s="199"/>
      <c r="H176" s="147" t="str">
        <f t="shared" si="27"/>
        <v/>
      </c>
      <c r="I176" s="196"/>
      <c r="J176" s="196"/>
      <c r="K176" s="196"/>
      <c r="M176" s="142" t="str">
        <f t="shared" si="28"/>
        <v/>
      </c>
      <c r="N176" s="142" t="str">
        <f t="shared" si="29"/>
        <v/>
      </c>
    </row>
    <row r="177" spans="1:14">
      <c r="A177" s="146" t="str">
        <f>IF(C177="","",VLOOKUP('Opći dio'!$C$3,'Opći dio'!$L$6:$U$136,10,FALSE))</f>
        <v/>
      </c>
      <c r="B177" s="146" t="str">
        <f>IF(C177="","",VLOOKUP('Opći dio'!$C$3,'Opći dio'!$L$6:$U$136,9,FALSE))</f>
        <v/>
      </c>
      <c r="C177" s="152"/>
      <c r="D177" s="147" t="str">
        <f t="shared" si="25"/>
        <v/>
      </c>
      <c r="E177" s="152"/>
      <c r="F177" s="147" t="str">
        <f t="shared" si="26"/>
        <v/>
      </c>
      <c r="G177" s="199"/>
      <c r="H177" s="147" t="str">
        <f t="shared" si="27"/>
        <v/>
      </c>
      <c r="I177" s="196"/>
      <c r="J177" s="196"/>
      <c r="K177" s="196"/>
      <c r="M177" s="142" t="str">
        <f t="shared" si="28"/>
        <v/>
      </c>
      <c r="N177" s="142" t="str">
        <f t="shared" si="29"/>
        <v/>
      </c>
    </row>
    <row r="178" spans="1:14">
      <c r="A178" s="146" t="str">
        <f>IF(C178="","",VLOOKUP('Opći dio'!$C$3,'Opći dio'!$L$6:$U$136,10,FALSE))</f>
        <v/>
      </c>
      <c r="B178" s="146" t="str">
        <f>IF(C178="","",VLOOKUP('Opći dio'!$C$3,'Opći dio'!$L$6:$U$136,9,FALSE))</f>
        <v/>
      </c>
      <c r="C178" s="152"/>
      <c r="D178" s="147" t="str">
        <f t="shared" si="25"/>
        <v/>
      </c>
      <c r="E178" s="152"/>
      <c r="F178" s="147" t="str">
        <f t="shared" si="26"/>
        <v/>
      </c>
      <c r="G178" s="199"/>
      <c r="H178" s="147" t="str">
        <f t="shared" si="27"/>
        <v/>
      </c>
      <c r="I178" s="196"/>
      <c r="J178" s="196"/>
      <c r="K178" s="196"/>
      <c r="M178" s="142" t="str">
        <f t="shared" si="28"/>
        <v/>
      </c>
      <c r="N178" s="142" t="str">
        <f t="shared" si="29"/>
        <v/>
      </c>
    </row>
    <row r="179" spans="1:14">
      <c r="A179" s="146" t="str">
        <f>IF(C179="","",VLOOKUP('Opći dio'!$C$3,'Opći dio'!$L$6:$U$136,10,FALSE))</f>
        <v/>
      </c>
      <c r="B179" s="146" t="str">
        <f>IF(C179="","",VLOOKUP('Opći dio'!$C$3,'Opći dio'!$L$6:$U$136,9,FALSE))</f>
        <v/>
      </c>
      <c r="C179" s="152"/>
      <c r="D179" s="147" t="str">
        <f t="shared" si="25"/>
        <v/>
      </c>
      <c r="E179" s="152"/>
      <c r="F179" s="147" t="str">
        <f t="shared" si="26"/>
        <v/>
      </c>
      <c r="G179" s="199"/>
      <c r="H179" s="147" t="str">
        <f t="shared" si="27"/>
        <v/>
      </c>
      <c r="I179" s="196"/>
      <c r="J179" s="196"/>
      <c r="K179" s="196"/>
      <c r="M179" s="142" t="str">
        <f t="shared" si="28"/>
        <v/>
      </c>
      <c r="N179" s="142" t="str">
        <f t="shared" si="29"/>
        <v/>
      </c>
    </row>
    <row r="180" spans="1:14">
      <c r="A180" s="146" t="str">
        <f>IF(C180="","",VLOOKUP('Opći dio'!$C$3,'Opći dio'!$L$6:$U$136,10,FALSE))</f>
        <v/>
      </c>
      <c r="B180" s="146" t="str">
        <f>IF(C180="","",VLOOKUP('Opći dio'!$C$3,'Opći dio'!$L$6:$U$136,9,FALSE))</f>
        <v/>
      </c>
      <c r="C180" s="152"/>
      <c r="D180" s="147" t="str">
        <f t="shared" si="25"/>
        <v/>
      </c>
      <c r="E180" s="152"/>
      <c r="F180" s="147" t="str">
        <f t="shared" si="26"/>
        <v/>
      </c>
      <c r="G180" s="199"/>
      <c r="H180" s="147" t="str">
        <f t="shared" si="27"/>
        <v/>
      </c>
      <c r="I180" s="196"/>
      <c r="J180" s="196"/>
      <c r="K180" s="196"/>
      <c r="M180" s="142" t="str">
        <f t="shared" si="28"/>
        <v/>
      </c>
      <c r="N180" s="142" t="str">
        <f t="shared" si="29"/>
        <v/>
      </c>
    </row>
    <row r="181" spans="1:14">
      <c r="A181" s="146" t="str">
        <f>IF(C181="","",VLOOKUP('Opći dio'!$C$3,'Opći dio'!$L$6:$U$136,10,FALSE))</f>
        <v/>
      </c>
      <c r="B181" s="146" t="str">
        <f>IF(C181="","",VLOOKUP('Opći dio'!$C$3,'Opći dio'!$L$6:$U$136,9,FALSE))</f>
        <v/>
      </c>
      <c r="C181" s="152"/>
      <c r="D181" s="147" t="str">
        <f t="shared" si="25"/>
        <v/>
      </c>
      <c r="E181" s="152"/>
      <c r="F181" s="147" t="str">
        <f t="shared" si="26"/>
        <v/>
      </c>
      <c r="G181" s="199"/>
      <c r="H181" s="147" t="str">
        <f t="shared" si="27"/>
        <v/>
      </c>
      <c r="I181" s="196"/>
      <c r="J181" s="196"/>
      <c r="K181" s="196"/>
      <c r="M181" s="142" t="str">
        <f t="shared" si="28"/>
        <v/>
      </c>
      <c r="N181" s="142" t="str">
        <f t="shared" si="29"/>
        <v/>
      </c>
    </row>
    <row r="182" spans="1:14">
      <c r="A182" s="146" t="str">
        <f>IF(C182="","",VLOOKUP('Opći dio'!$C$3,'Opći dio'!$L$6:$U$136,10,FALSE))</f>
        <v/>
      </c>
      <c r="B182" s="146" t="str">
        <f>IF(C182="","",VLOOKUP('Opći dio'!$C$3,'Opći dio'!$L$6:$U$136,9,FALSE))</f>
        <v/>
      </c>
      <c r="C182" s="152"/>
      <c r="D182" s="147" t="str">
        <f t="shared" si="25"/>
        <v/>
      </c>
      <c r="E182" s="152"/>
      <c r="F182" s="147" t="str">
        <f t="shared" si="26"/>
        <v/>
      </c>
      <c r="G182" s="199"/>
      <c r="H182" s="147" t="str">
        <f t="shared" si="27"/>
        <v/>
      </c>
      <c r="I182" s="196"/>
      <c r="J182" s="196"/>
      <c r="K182" s="196"/>
      <c r="M182" s="142" t="str">
        <f t="shared" si="28"/>
        <v/>
      </c>
      <c r="N182" s="142" t="str">
        <f t="shared" si="29"/>
        <v/>
      </c>
    </row>
    <row r="183" spans="1:14">
      <c r="A183" s="146" t="str">
        <f>IF(C183="","",VLOOKUP('Opći dio'!$C$3,'Opći dio'!$L$6:$U$136,10,FALSE))</f>
        <v/>
      </c>
      <c r="B183" s="146" t="str">
        <f>IF(C183="","",VLOOKUP('Opći dio'!$C$3,'Opći dio'!$L$6:$U$136,9,FALSE))</f>
        <v/>
      </c>
      <c r="C183" s="152"/>
      <c r="D183" s="147" t="str">
        <f t="shared" si="25"/>
        <v/>
      </c>
      <c r="E183" s="152"/>
      <c r="F183" s="147" t="str">
        <f t="shared" si="26"/>
        <v/>
      </c>
      <c r="G183" s="199"/>
      <c r="H183" s="147" t="str">
        <f t="shared" si="27"/>
        <v/>
      </c>
      <c r="I183" s="196"/>
      <c r="J183" s="196"/>
      <c r="K183" s="196"/>
      <c r="M183" s="142" t="str">
        <f t="shared" si="28"/>
        <v/>
      </c>
      <c r="N183" s="142" t="str">
        <f t="shared" si="29"/>
        <v/>
      </c>
    </row>
    <row r="184" spans="1:14">
      <c r="A184" s="146" t="str">
        <f>IF(C184="","",VLOOKUP('Opći dio'!$C$3,'Opći dio'!$L$6:$U$136,10,FALSE))</f>
        <v/>
      </c>
      <c r="B184" s="146" t="str">
        <f>IF(C184="","",VLOOKUP('Opći dio'!$C$3,'Opći dio'!$L$6:$U$136,9,FALSE))</f>
        <v/>
      </c>
      <c r="C184" s="152"/>
      <c r="D184" s="147" t="str">
        <f t="shared" si="25"/>
        <v/>
      </c>
      <c r="E184" s="152"/>
      <c r="F184" s="147" t="str">
        <f t="shared" si="26"/>
        <v/>
      </c>
      <c r="G184" s="199"/>
      <c r="H184" s="147" t="str">
        <f t="shared" si="27"/>
        <v/>
      </c>
      <c r="I184" s="196"/>
      <c r="J184" s="196"/>
      <c r="K184" s="196"/>
      <c r="M184" s="142" t="str">
        <f t="shared" si="28"/>
        <v/>
      </c>
      <c r="N184" s="142" t="str">
        <f t="shared" si="29"/>
        <v/>
      </c>
    </row>
    <row r="185" spans="1:14">
      <c r="A185" s="146" t="str">
        <f>IF(C185="","",VLOOKUP('Opći dio'!$C$3,'Opći dio'!$L$6:$U$136,10,FALSE))</f>
        <v/>
      </c>
      <c r="B185" s="146" t="str">
        <f>IF(C185="","",VLOOKUP('Opći dio'!$C$3,'Opći dio'!$L$6:$U$136,9,FALSE))</f>
        <v/>
      </c>
      <c r="C185" s="152"/>
      <c r="D185" s="147" t="str">
        <f t="shared" si="25"/>
        <v/>
      </c>
      <c r="E185" s="152"/>
      <c r="F185" s="147" t="str">
        <f t="shared" si="26"/>
        <v/>
      </c>
      <c r="G185" s="199"/>
      <c r="H185" s="147" t="str">
        <f t="shared" si="27"/>
        <v/>
      </c>
      <c r="I185" s="196"/>
      <c r="J185" s="196"/>
      <c r="K185" s="196"/>
      <c r="M185" s="142" t="str">
        <f t="shared" si="28"/>
        <v/>
      </c>
      <c r="N185" s="142" t="str">
        <f t="shared" si="29"/>
        <v/>
      </c>
    </row>
    <row r="186" spans="1:14">
      <c r="A186" s="146" t="str">
        <f>IF(C186="","",VLOOKUP('Opći dio'!$C$3,'Opći dio'!$L$6:$U$136,10,FALSE))</f>
        <v/>
      </c>
      <c r="B186" s="146" t="str">
        <f>IF(C186="","",VLOOKUP('Opći dio'!$C$3,'Opći dio'!$L$6:$U$136,9,FALSE))</f>
        <v/>
      </c>
      <c r="C186" s="152"/>
      <c r="D186" s="147" t="str">
        <f t="shared" si="25"/>
        <v/>
      </c>
      <c r="E186" s="152"/>
      <c r="F186" s="147" t="str">
        <f t="shared" si="26"/>
        <v/>
      </c>
      <c r="G186" s="199"/>
      <c r="H186" s="147" t="str">
        <f t="shared" si="27"/>
        <v/>
      </c>
      <c r="I186" s="196"/>
      <c r="J186" s="196"/>
      <c r="K186" s="196"/>
      <c r="M186" s="142" t="str">
        <f t="shared" si="28"/>
        <v/>
      </c>
      <c r="N186" s="142" t="str">
        <f t="shared" si="29"/>
        <v/>
      </c>
    </row>
    <row r="187" spans="1:14">
      <c r="A187" s="146" t="str">
        <f>IF(C187="","",VLOOKUP('Opći dio'!$C$3,'Opći dio'!$L$6:$U$136,10,FALSE))</f>
        <v/>
      </c>
      <c r="B187" s="146" t="str">
        <f>IF(C187="","",VLOOKUP('Opći dio'!$C$3,'Opći dio'!$L$6:$U$136,9,FALSE))</f>
        <v/>
      </c>
      <c r="C187" s="152"/>
      <c r="D187" s="147" t="str">
        <f t="shared" si="25"/>
        <v/>
      </c>
      <c r="E187" s="152"/>
      <c r="F187" s="147" t="str">
        <f t="shared" si="26"/>
        <v/>
      </c>
      <c r="G187" s="199"/>
      <c r="H187" s="147" t="str">
        <f t="shared" si="27"/>
        <v/>
      </c>
      <c r="I187" s="196"/>
      <c r="J187" s="196"/>
      <c r="K187" s="196"/>
      <c r="M187" s="142" t="str">
        <f t="shared" si="28"/>
        <v/>
      </c>
      <c r="N187" s="142" t="str">
        <f t="shared" si="29"/>
        <v/>
      </c>
    </row>
    <row r="188" spans="1:14">
      <c r="A188" s="146" t="str">
        <f>IF(C188="","",VLOOKUP('Opći dio'!$C$3,'Opći dio'!$L$6:$U$136,10,FALSE))</f>
        <v/>
      </c>
      <c r="B188" s="146" t="str">
        <f>IF(C188="","",VLOOKUP('Opći dio'!$C$3,'Opći dio'!$L$6:$U$136,9,FALSE))</f>
        <v/>
      </c>
      <c r="C188" s="152"/>
      <c r="D188" s="147" t="str">
        <f t="shared" si="25"/>
        <v/>
      </c>
      <c r="E188" s="152"/>
      <c r="F188" s="147" t="str">
        <f t="shared" si="26"/>
        <v/>
      </c>
      <c r="G188" s="199"/>
      <c r="H188" s="147" t="str">
        <f t="shared" si="27"/>
        <v/>
      </c>
      <c r="I188" s="196"/>
      <c r="J188" s="196"/>
      <c r="K188" s="196"/>
      <c r="M188" s="142" t="str">
        <f t="shared" si="28"/>
        <v/>
      </c>
      <c r="N188" s="142" t="str">
        <f t="shared" si="29"/>
        <v/>
      </c>
    </row>
    <row r="189" spans="1:14">
      <c r="A189" s="146" t="str">
        <f>IF(C189="","",VLOOKUP('Opći dio'!$C$3,'Opći dio'!$L$6:$U$136,10,FALSE))</f>
        <v/>
      </c>
      <c r="B189" s="146" t="str">
        <f>IF(C189="","",VLOOKUP('Opći dio'!$C$3,'Opći dio'!$L$6:$U$136,9,FALSE))</f>
        <v/>
      </c>
      <c r="C189" s="152"/>
      <c r="D189" s="147" t="str">
        <f t="shared" si="25"/>
        <v/>
      </c>
      <c r="E189" s="152"/>
      <c r="F189" s="147" t="str">
        <f t="shared" si="26"/>
        <v/>
      </c>
      <c r="G189" s="199"/>
      <c r="H189" s="147" t="str">
        <f t="shared" si="27"/>
        <v/>
      </c>
      <c r="I189" s="196"/>
      <c r="J189" s="196"/>
      <c r="K189" s="196"/>
      <c r="M189" s="142" t="str">
        <f t="shared" si="28"/>
        <v/>
      </c>
      <c r="N189" s="142" t="str">
        <f t="shared" si="29"/>
        <v/>
      </c>
    </row>
    <row r="190" spans="1:14">
      <c r="A190" s="146" t="str">
        <f>IF(C190="","",VLOOKUP('Opći dio'!$C$3,'Opći dio'!$L$6:$U$136,10,FALSE))</f>
        <v/>
      </c>
      <c r="B190" s="146" t="str">
        <f>IF(C190="","",VLOOKUP('Opći dio'!$C$3,'Opći dio'!$L$6:$U$136,9,FALSE))</f>
        <v/>
      </c>
      <c r="C190" s="152"/>
      <c r="D190" s="147" t="str">
        <f t="shared" si="25"/>
        <v/>
      </c>
      <c r="E190" s="152"/>
      <c r="F190" s="147" t="str">
        <f t="shared" si="26"/>
        <v/>
      </c>
      <c r="G190" s="199"/>
      <c r="H190" s="147" t="str">
        <f t="shared" si="27"/>
        <v/>
      </c>
      <c r="I190" s="196"/>
      <c r="J190" s="196"/>
      <c r="K190" s="196"/>
      <c r="M190" s="142" t="str">
        <f t="shared" si="28"/>
        <v/>
      </c>
      <c r="N190" s="142" t="str">
        <f t="shared" si="29"/>
        <v/>
      </c>
    </row>
    <row r="191" spans="1:14">
      <c r="A191" s="146" t="str">
        <f>IF(C191="","",VLOOKUP('Opći dio'!$C$3,'Opći dio'!$L$6:$U$136,10,FALSE))</f>
        <v/>
      </c>
      <c r="B191" s="146" t="str">
        <f>IF(C191="","",VLOOKUP('Opći dio'!$C$3,'Opći dio'!$L$6:$U$136,9,FALSE))</f>
        <v/>
      </c>
      <c r="C191" s="152"/>
      <c r="D191" s="147" t="str">
        <f t="shared" si="25"/>
        <v/>
      </c>
      <c r="E191" s="152"/>
      <c r="F191" s="147" t="str">
        <f t="shared" si="26"/>
        <v/>
      </c>
      <c r="G191" s="199"/>
      <c r="H191" s="147" t="str">
        <f t="shared" si="27"/>
        <v/>
      </c>
      <c r="I191" s="196"/>
      <c r="J191" s="196"/>
      <c r="K191" s="196"/>
      <c r="M191" s="142" t="str">
        <f t="shared" si="28"/>
        <v/>
      </c>
      <c r="N191" s="142" t="str">
        <f t="shared" si="29"/>
        <v/>
      </c>
    </row>
    <row r="192" spans="1:14">
      <c r="A192" s="146" t="str">
        <f>IF(C192="","",VLOOKUP('Opći dio'!$C$3,'Opći dio'!$L$6:$U$136,10,FALSE))</f>
        <v/>
      </c>
      <c r="B192" s="146" t="str">
        <f>IF(C192="","",VLOOKUP('Opći dio'!$C$3,'Opći dio'!$L$6:$U$136,9,FALSE))</f>
        <v/>
      </c>
      <c r="C192" s="152"/>
      <c r="D192" s="147" t="str">
        <f t="shared" si="25"/>
        <v/>
      </c>
      <c r="E192" s="152"/>
      <c r="F192" s="147" t="str">
        <f t="shared" si="26"/>
        <v/>
      </c>
      <c r="G192" s="199"/>
      <c r="H192" s="147" t="str">
        <f t="shared" si="27"/>
        <v/>
      </c>
      <c r="I192" s="196"/>
      <c r="J192" s="196"/>
      <c r="K192" s="196"/>
      <c r="M192" s="142" t="str">
        <f t="shared" si="28"/>
        <v/>
      </c>
      <c r="N192" s="142" t="str">
        <f t="shared" si="29"/>
        <v/>
      </c>
    </row>
    <row r="193" spans="1:14">
      <c r="A193" s="146" t="str">
        <f>IF(C193="","",VLOOKUP('Opći dio'!$C$3,'Opći dio'!$L$6:$U$136,10,FALSE))</f>
        <v/>
      </c>
      <c r="B193" s="146" t="str">
        <f>IF(C193="","",VLOOKUP('Opći dio'!$C$3,'Opći dio'!$L$6:$U$136,9,FALSE))</f>
        <v/>
      </c>
      <c r="C193" s="152"/>
      <c r="D193" s="147" t="str">
        <f t="shared" si="25"/>
        <v/>
      </c>
      <c r="E193" s="152"/>
      <c r="F193" s="147" t="str">
        <f t="shared" si="26"/>
        <v/>
      </c>
      <c r="G193" s="199"/>
      <c r="H193" s="147" t="str">
        <f t="shared" si="27"/>
        <v/>
      </c>
      <c r="I193" s="196"/>
      <c r="J193" s="196"/>
      <c r="K193" s="196"/>
      <c r="M193" s="142" t="str">
        <f t="shared" si="28"/>
        <v/>
      </c>
      <c r="N193" s="142" t="str">
        <f t="shared" si="29"/>
        <v/>
      </c>
    </row>
    <row r="194" spans="1:14">
      <c r="A194" s="146" t="str">
        <f>IF(C194="","",VLOOKUP('Opći dio'!$C$3,'Opći dio'!$L$6:$U$136,10,FALSE))</f>
        <v/>
      </c>
      <c r="B194" s="146" t="str">
        <f>IF(C194="","",VLOOKUP('Opći dio'!$C$3,'Opći dio'!$L$6:$U$136,9,FALSE))</f>
        <v/>
      </c>
      <c r="C194" s="152"/>
      <c r="D194" s="147" t="str">
        <f t="shared" si="25"/>
        <v/>
      </c>
      <c r="E194" s="152"/>
      <c r="F194" s="147" t="str">
        <f t="shared" si="26"/>
        <v/>
      </c>
      <c r="G194" s="199"/>
      <c r="H194" s="147" t="str">
        <f t="shared" si="27"/>
        <v/>
      </c>
      <c r="I194" s="196"/>
      <c r="J194" s="196"/>
      <c r="K194" s="196"/>
      <c r="M194" s="142" t="str">
        <f t="shared" si="28"/>
        <v/>
      </c>
      <c r="N194" s="142" t="str">
        <f t="shared" si="29"/>
        <v/>
      </c>
    </row>
    <row r="195" spans="1:14">
      <c r="A195" s="146" t="str">
        <f>IF(C195="","",VLOOKUP('Opći dio'!$C$3,'Opći dio'!$L$6:$U$136,10,FALSE))</f>
        <v/>
      </c>
      <c r="B195" s="146" t="str">
        <f>IF(C195="","",VLOOKUP('Opći dio'!$C$3,'Opći dio'!$L$6:$U$136,9,FALSE))</f>
        <v/>
      </c>
      <c r="C195" s="152"/>
      <c r="D195" s="147" t="str">
        <f t="shared" si="25"/>
        <v/>
      </c>
      <c r="E195" s="152"/>
      <c r="F195" s="147" t="str">
        <f t="shared" si="26"/>
        <v/>
      </c>
      <c r="G195" s="199"/>
      <c r="H195" s="147" t="str">
        <f t="shared" si="27"/>
        <v/>
      </c>
      <c r="I195" s="196"/>
      <c r="J195" s="196"/>
      <c r="K195" s="196"/>
      <c r="M195" s="142" t="str">
        <f t="shared" si="28"/>
        <v/>
      </c>
      <c r="N195" s="142" t="str">
        <f t="shared" si="29"/>
        <v/>
      </c>
    </row>
    <row r="196" spans="1:14">
      <c r="A196" s="146" t="str">
        <f>IF(C196="","",VLOOKUP('Opći dio'!$C$3,'Opći dio'!$L$6:$U$136,10,FALSE))</f>
        <v/>
      </c>
      <c r="B196" s="146" t="str">
        <f>IF(C196="","",VLOOKUP('Opći dio'!$C$3,'Opći dio'!$L$6:$U$136,9,FALSE))</f>
        <v/>
      </c>
      <c r="C196" s="152"/>
      <c r="D196" s="147" t="str">
        <f t="shared" ref="D196:D259" si="30">IFERROR(VLOOKUP(C196,$O$6:$P$22,2,FALSE),"")</f>
        <v/>
      </c>
      <c r="E196" s="152"/>
      <c r="F196" s="147" t="str">
        <f t="shared" ref="F196:F259" si="31">IFERROR(VLOOKUP(E196,$R$5:$T$129,2,FALSE),"")</f>
        <v/>
      </c>
      <c r="G196" s="199"/>
      <c r="H196" s="147" t="str">
        <f t="shared" ref="H196:H259" si="32">IFERROR(VLOOKUP(G196,$X$6:$Y$171,2,FALSE),"")</f>
        <v/>
      </c>
      <c r="I196" s="196"/>
      <c r="J196" s="196"/>
      <c r="K196" s="196"/>
      <c r="M196" s="142" t="str">
        <f t="shared" ref="M196:M259" si="33">LEFT(E196,3)</f>
        <v/>
      </c>
      <c r="N196" s="142" t="str">
        <f t="shared" ref="N196:N259" si="34">LEFT(E196,2)</f>
        <v/>
      </c>
    </row>
    <row r="197" spans="1:14">
      <c r="A197" s="146" t="str">
        <f>IF(C197="","",VLOOKUP('Opći dio'!$C$3,'Opći dio'!$L$6:$U$136,10,FALSE))</f>
        <v/>
      </c>
      <c r="B197" s="146" t="str">
        <f>IF(C197="","",VLOOKUP('Opći dio'!$C$3,'Opći dio'!$L$6:$U$136,9,FALSE))</f>
        <v/>
      </c>
      <c r="C197" s="152"/>
      <c r="D197" s="147" t="str">
        <f t="shared" si="30"/>
        <v/>
      </c>
      <c r="E197" s="152"/>
      <c r="F197" s="147" t="str">
        <f t="shared" si="31"/>
        <v/>
      </c>
      <c r="G197" s="199"/>
      <c r="H197" s="147" t="str">
        <f t="shared" si="32"/>
        <v/>
      </c>
      <c r="I197" s="196"/>
      <c r="J197" s="196"/>
      <c r="K197" s="196"/>
      <c r="M197" s="142" t="str">
        <f t="shared" si="33"/>
        <v/>
      </c>
      <c r="N197" s="142" t="str">
        <f t="shared" si="34"/>
        <v/>
      </c>
    </row>
    <row r="198" spans="1:14">
      <c r="A198" s="146" t="str">
        <f>IF(C198="","",VLOOKUP('Opći dio'!$C$3,'Opći dio'!$L$6:$U$136,10,FALSE))</f>
        <v/>
      </c>
      <c r="B198" s="146" t="str">
        <f>IF(C198="","",VLOOKUP('Opći dio'!$C$3,'Opći dio'!$L$6:$U$136,9,FALSE))</f>
        <v/>
      </c>
      <c r="C198" s="152"/>
      <c r="D198" s="147" t="str">
        <f t="shared" si="30"/>
        <v/>
      </c>
      <c r="E198" s="152"/>
      <c r="F198" s="147" t="str">
        <f t="shared" si="31"/>
        <v/>
      </c>
      <c r="G198" s="199"/>
      <c r="H198" s="147" t="str">
        <f t="shared" si="32"/>
        <v/>
      </c>
      <c r="I198" s="196"/>
      <c r="J198" s="196"/>
      <c r="K198" s="196"/>
      <c r="M198" s="142" t="str">
        <f t="shared" si="33"/>
        <v/>
      </c>
      <c r="N198" s="142" t="str">
        <f t="shared" si="34"/>
        <v/>
      </c>
    </row>
    <row r="199" spans="1:14">
      <c r="A199" s="146" t="str">
        <f>IF(C199="","",VLOOKUP('Opći dio'!$C$3,'Opći dio'!$L$6:$U$136,10,FALSE))</f>
        <v/>
      </c>
      <c r="B199" s="146" t="str">
        <f>IF(C199="","",VLOOKUP('Opći dio'!$C$3,'Opći dio'!$L$6:$U$136,9,FALSE))</f>
        <v/>
      </c>
      <c r="C199" s="152"/>
      <c r="D199" s="147" t="str">
        <f t="shared" si="30"/>
        <v/>
      </c>
      <c r="E199" s="152"/>
      <c r="F199" s="147" t="str">
        <f t="shared" si="31"/>
        <v/>
      </c>
      <c r="G199" s="199"/>
      <c r="H199" s="147" t="str">
        <f t="shared" si="32"/>
        <v/>
      </c>
      <c r="I199" s="196"/>
      <c r="J199" s="196"/>
      <c r="K199" s="196"/>
      <c r="M199" s="142" t="str">
        <f t="shared" si="33"/>
        <v/>
      </c>
      <c r="N199" s="142" t="str">
        <f t="shared" si="34"/>
        <v/>
      </c>
    </row>
    <row r="200" spans="1:14">
      <c r="A200" s="146" t="str">
        <f>IF(C200="","",VLOOKUP('Opći dio'!$C$3,'Opći dio'!$L$6:$U$136,10,FALSE))</f>
        <v/>
      </c>
      <c r="B200" s="146" t="str">
        <f>IF(C200="","",VLOOKUP('Opći dio'!$C$3,'Opći dio'!$L$6:$U$136,9,FALSE))</f>
        <v/>
      </c>
      <c r="C200" s="152"/>
      <c r="D200" s="147" t="str">
        <f t="shared" si="30"/>
        <v/>
      </c>
      <c r="E200" s="152"/>
      <c r="F200" s="147" t="str">
        <f t="shared" si="31"/>
        <v/>
      </c>
      <c r="G200" s="199"/>
      <c r="H200" s="147" t="str">
        <f t="shared" si="32"/>
        <v/>
      </c>
      <c r="I200" s="196"/>
      <c r="J200" s="196"/>
      <c r="K200" s="196"/>
      <c r="M200" s="142" t="str">
        <f t="shared" si="33"/>
        <v/>
      </c>
      <c r="N200" s="142" t="str">
        <f t="shared" si="34"/>
        <v/>
      </c>
    </row>
    <row r="201" spans="1:14">
      <c r="A201" s="146" t="str">
        <f>IF(C201="","",VLOOKUP('Opći dio'!$C$3,'Opći dio'!$L$6:$U$136,10,FALSE))</f>
        <v/>
      </c>
      <c r="B201" s="146" t="str">
        <f>IF(C201="","",VLOOKUP('Opći dio'!$C$3,'Opći dio'!$L$6:$U$136,9,FALSE))</f>
        <v/>
      </c>
      <c r="C201" s="152"/>
      <c r="D201" s="147" t="str">
        <f t="shared" si="30"/>
        <v/>
      </c>
      <c r="E201" s="152"/>
      <c r="F201" s="147" t="str">
        <f t="shared" si="31"/>
        <v/>
      </c>
      <c r="G201" s="199"/>
      <c r="H201" s="147" t="str">
        <f t="shared" si="32"/>
        <v/>
      </c>
      <c r="I201" s="196"/>
      <c r="J201" s="196"/>
      <c r="K201" s="196"/>
      <c r="M201" s="142" t="str">
        <f t="shared" si="33"/>
        <v/>
      </c>
      <c r="N201" s="142" t="str">
        <f t="shared" si="34"/>
        <v/>
      </c>
    </row>
    <row r="202" spans="1:14">
      <c r="A202" s="146" t="str">
        <f>IF(C202="","",VLOOKUP('Opći dio'!$C$3,'Opći dio'!$L$6:$U$136,10,FALSE))</f>
        <v/>
      </c>
      <c r="B202" s="146" t="str">
        <f>IF(C202="","",VLOOKUP('Opći dio'!$C$3,'Opći dio'!$L$6:$U$136,9,FALSE))</f>
        <v/>
      </c>
      <c r="C202" s="152"/>
      <c r="D202" s="147" t="str">
        <f t="shared" si="30"/>
        <v/>
      </c>
      <c r="E202" s="152"/>
      <c r="F202" s="147" t="str">
        <f t="shared" si="31"/>
        <v/>
      </c>
      <c r="G202" s="199"/>
      <c r="H202" s="147" t="str">
        <f t="shared" si="32"/>
        <v/>
      </c>
      <c r="I202" s="196"/>
      <c r="J202" s="196"/>
      <c r="K202" s="196"/>
      <c r="M202" s="142" t="str">
        <f t="shared" si="33"/>
        <v/>
      </c>
      <c r="N202" s="142" t="str">
        <f t="shared" si="34"/>
        <v/>
      </c>
    </row>
    <row r="203" spans="1:14">
      <c r="A203" s="146" t="str">
        <f>IF(C203="","",VLOOKUP('Opći dio'!$C$3,'Opći dio'!$L$6:$U$136,10,FALSE))</f>
        <v/>
      </c>
      <c r="B203" s="146" t="str">
        <f>IF(C203="","",VLOOKUP('Opći dio'!$C$3,'Opći dio'!$L$6:$U$136,9,FALSE))</f>
        <v/>
      </c>
      <c r="C203" s="152"/>
      <c r="D203" s="147" t="str">
        <f t="shared" si="30"/>
        <v/>
      </c>
      <c r="E203" s="152"/>
      <c r="F203" s="147" t="str">
        <f t="shared" si="31"/>
        <v/>
      </c>
      <c r="G203" s="199"/>
      <c r="H203" s="147" t="str">
        <f t="shared" si="32"/>
        <v/>
      </c>
      <c r="I203" s="196"/>
      <c r="J203" s="196"/>
      <c r="K203" s="196"/>
      <c r="M203" s="142" t="str">
        <f t="shared" si="33"/>
        <v/>
      </c>
      <c r="N203" s="142" t="str">
        <f t="shared" si="34"/>
        <v/>
      </c>
    </row>
    <row r="204" spans="1:14">
      <c r="A204" s="146" t="str">
        <f>IF(C204="","",VLOOKUP('Opći dio'!$C$3,'Opći dio'!$L$6:$U$136,10,FALSE))</f>
        <v/>
      </c>
      <c r="B204" s="146" t="str">
        <f>IF(C204="","",VLOOKUP('Opći dio'!$C$3,'Opći dio'!$L$6:$U$136,9,FALSE))</f>
        <v/>
      </c>
      <c r="C204" s="152"/>
      <c r="D204" s="147" t="str">
        <f t="shared" si="30"/>
        <v/>
      </c>
      <c r="E204" s="152"/>
      <c r="F204" s="147" t="str">
        <f t="shared" si="31"/>
        <v/>
      </c>
      <c r="G204" s="199"/>
      <c r="H204" s="147" t="str">
        <f t="shared" si="32"/>
        <v/>
      </c>
      <c r="I204" s="196"/>
      <c r="J204" s="196"/>
      <c r="K204" s="196"/>
      <c r="M204" s="142" t="str">
        <f t="shared" si="33"/>
        <v/>
      </c>
      <c r="N204" s="142" t="str">
        <f t="shared" si="34"/>
        <v/>
      </c>
    </row>
    <row r="205" spans="1:14">
      <c r="A205" s="146" t="str">
        <f>IF(C205="","",VLOOKUP('Opći dio'!$C$3,'Opći dio'!$L$6:$U$136,10,FALSE))</f>
        <v/>
      </c>
      <c r="B205" s="146" t="str">
        <f>IF(C205="","",VLOOKUP('Opći dio'!$C$3,'Opći dio'!$L$6:$U$136,9,FALSE))</f>
        <v/>
      </c>
      <c r="C205" s="152"/>
      <c r="D205" s="147" t="str">
        <f t="shared" si="30"/>
        <v/>
      </c>
      <c r="E205" s="152"/>
      <c r="F205" s="147" t="str">
        <f t="shared" si="31"/>
        <v/>
      </c>
      <c r="G205" s="199"/>
      <c r="H205" s="147" t="str">
        <f t="shared" si="32"/>
        <v/>
      </c>
      <c r="I205" s="196"/>
      <c r="J205" s="196"/>
      <c r="K205" s="196"/>
      <c r="M205" s="142" t="str">
        <f t="shared" si="33"/>
        <v/>
      </c>
      <c r="N205" s="142" t="str">
        <f t="shared" si="34"/>
        <v/>
      </c>
    </row>
    <row r="206" spans="1:14">
      <c r="A206" s="146" t="str">
        <f>IF(C206="","",VLOOKUP('Opći dio'!$C$3,'Opći dio'!$L$6:$U$136,10,FALSE))</f>
        <v/>
      </c>
      <c r="B206" s="146" t="str">
        <f>IF(C206="","",VLOOKUP('Opći dio'!$C$3,'Opći dio'!$L$6:$U$136,9,FALSE))</f>
        <v/>
      </c>
      <c r="C206" s="152"/>
      <c r="D206" s="147" t="str">
        <f t="shared" si="30"/>
        <v/>
      </c>
      <c r="E206" s="152"/>
      <c r="F206" s="147" t="str">
        <f t="shared" si="31"/>
        <v/>
      </c>
      <c r="G206" s="199"/>
      <c r="H206" s="147" t="str">
        <f t="shared" si="32"/>
        <v/>
      </c>
      <c r="I206" s="196"/>
      <c r="J206" s="196"/>
      <c r="K206" s="196"/>
      <c r="M206" s="142" t="str">
        <f t="shared" si="33"/>
        <v/>
      </c>
      <c r="N206" s="142" t="str">
        <f t="shared" si="34"/>
        <v/>
      </c>
    </row>
    <row r="207" spans="1:14">
      <c r="A207" s="146" t="str">
        <f>IF(C207="","",VLOOKUP('Opći dio'!$C$3,'Opći dio'!$L$6:$U$136,10,FALSE))</f>
        <v/>
      </c>
      <c r="B207" s="146" t="str">
        <f>IF(C207="","",VLOOKUP('Opći dio'!$C$3,'Opći dio'!$L$6:$U$136,9,FALSE))</f>
        <v/>
      </c>
      <c r="C207" s="152"/>
      <c r="D207" s="147" t="str">
        <f t="shared" si="30"/>
        <v/>
      </c>
      <c r="E207" s="152"/>
      <c r="F207" s="147" t="str">
        <f t="shared" si="31"/>
        <v/>
      </c>
      <c r="G207" s="199"/>
      <c r="H207" s="147" t="str">
        <f t="shared" si="32"/>
        <v/>
      </c>
      <c r="I207" s="196"/>
      <c r="J207" s="196"/>
      <c r="K207" s="196"/>
      <c r="M207" s="142" t="str">
        <f t="shared" si="33"/>
        <v/>
      </c>
      <c r="N207" s="142" t="str">
        <f t="shared" si="34"/>
        <v/>
      </c>
    </row>
    <row r="208" spans="1:14">
      <c r="A208" s="146" t="str">
        <f>IF(C208="","",VLOOKUP('Opći dio'!$C$3,'Opći dio'!$L$6:$U$136,10,FALSE))</f>
        <v/>
      </c>
      <c r="B208" s="146" t="str">
        <f>IF(C208="","",VLOOKUP('Opći dio'!$C$3,'Opći dio'!$L$6:$U$136,9,FALSE))</f>
        <v/>
      </c>
      <c r="C208" s="152"/>
      <c r="D208" s="147" t="str">
        <f t="shared" si="30"/>
        <v/>
      </c>
      <c r="E208" s="152"/>
      <c r="F208" s="147" t="str">
        <f t="shared" si="31"/>
        <v/>
      </c>
      <c r="G208" s="199"/>
      <c r="H208" s="147" t="str">
        <f t="shared" si="32"/>
        <v/>
      </c>
      <c r="I208" s="196"/>
      <c r="J208" s="196"/>
      <c r="K208" s="196"/>
      <c r="M208" s="142" t="str">
        <f t="shared" si="33"/>
        <v/>
      </c>
      <c r="N208" s="142" t="str">
        <f t="shared" si="34"/>
        <v/>
      </c>
    </row>
    <row r="209" spans="1:14">
      <c r="A209" s="146" t="str">
        <f>IF(C209="","",VLOOKUP('Opći dio'!$C$3,'Opći dio'!$L$6:$U$136,10,FALSE))</f>
        <v/>
      </c>
      <c r="B209" s="146" t="str">
        <f>IF(C209="","",VLOOKUP('Opći dio'!$C$3,'Opći dio'!$L$6:$U$136,9,FALSE))</f>
        <v/>
      </c>
      <c r="C209" s="152"/>
      <c r="D209" s="147" t="str">
        <f t="shared" si="30"/>
        <v/>
      </c>
      <c r="E209" s="152"/>
      <c r="F209" s="147" t="str">
        <f t="shared" si="31"/>
        <v/>
      </c>
      <c r="G209" s="199"/>
      <c r="H209" s="147" t="str">
        <f t="shared" si="32"/>
        <v/>
      </c>
      <c r="I209" s="196"/>
      <c r="J209" s="196"/>
      <c r="K209" s="196"/>
      <c r="M209" s="142" t="str">
        <f t="shared" si="33"/>
        <v/>
      </c>
      <c r="N209" s="142" t="str">
        <f t="shared" si="34"/>
        <v/>
      </c>
    </row>
    <row r="210" spans="1:14">
      <c r="A210" s="146" t="str">
        <f>IF(C210="","",VLOOKUP('Opći dio'!$C$3,'Opći dio'!$L$6:$U$136,10,FALSE))</f>
        <v/>
      </c>
      <c r="B210" s="146" t="str">
        <f>IF(C210="","",VLOOKUP('Opći dio'!$C$3,'Opći dio'!$L$6:$U$136,9,FALSE))</f>
        <v/>
      </c>
      <c r="C210" s="152"/>
      <c r="D210" s="147" t="str">
        <f t="shared" si="30"/>
        <v/>
      </c>
      <c r="E210" s="152"/>
      <c r="F210" s="147" t="str">
        <f t="shared" si="31"/>
        <v/>
      </c>
      <c r="G210" s="199"/>
      <c r="H210" s="147" t="str">
        <f t="shared" si="32"/>
        <v/>
      </c>
      <c r="I210" s="196"/>
      <c r="J210" s="196"/>
      <c r="K210" s="196"/>
      <c r="M210" s="142" t="str">
        <f t="shared" si="33"/>
        <v/>
      </c>
      <c r="N210" s="142" t="str">
        <f t="shared" si="34"/>
        <v/>
      </c>
    </row>
    <row r="211" spans="1:14">
      <c r="A211" s="146" t="str">
        <f>IF(C211="","",VLOOKUP('Opći dio'!$C$3,'Opći dio'!$L$6:$U$136,10,FALSE))</f>
        <v/>
      </c>
      <c r="B211" s="146" t="str">
        <f>IF(C211="","",VLOOKUP('Opći dio'!$C$3,'Opći dio'!$L$6:$U$136,9,FALSE))</f>
        <v/>
      </c>
      <c r="C211" s="152"/>
      <c r="D211" s="147" t="str">
        <f t="shared" si="30"/>
        <v/>
      </c>
      <c r="E211" s="152"/>
      <c r="F211" s="147" t="str">
        <f t="shared" si="31"/>
        <v/>
      </c>
      <c r="G211" s="199"/>
      <c r="H211" s="147" t="str">
        <f t="shared" si="32"/>
        <v/>
      </c>
      <c r="I211" s="196"/>
      <c r="J211" s="196"/>
      <c r="K211" s="196"/>
      <c r="M211" s="142" t="str">
        <f t="shared" si="33"/>
        <v/>
      </c>
      <c r="N211" s="142" t="str">
        <f t="shared" si="34"/>
        <v/>
      </c>
    </row>
    <row r="212" spans="1:14">
      <c r="A212" s="146" t="str">
        <f>IF(C212="","",VLOOKUP('Opći dio'!$C$3,'Opći dio'!$L$6:$U$136,10,FALSE))</f>
        <v/>
      </c>
      <c r="B212" s="146" t="str">
        <f>IF(C212="","",VLOOKUP('Opći dio'!$C$3,'Opći dio'!$L$6:$U$136,9,FALSE))</f>
        <v/>
      </c>
      <c r="C212" s="152"/>
      <c r="D212" s="147" t="str">
        <f t="shared" si="30"/>
        <v/>
      </c>
      <c r="E212" s="152"/>
      <c r="F212" s="147" t="str">
        <f t="shared" si="31"/>
        <v/>
      </c>
      <c r="G212" s="199"/>
      <c r="H212" s="147" t="str">
        <f t="shared" si="32"/>
        <v/>
      </c>
      <c r="I212" s="196"/>
      <c r="J212" s="196"/>
      <c r="K212" s="196"/>
      <c r="M212" s="142" t="str">
        <f t="shared" si="33"/>
        <v/>
      </c>
      <c r="N212" s="142" t="str">
        <f t="shared" si="34"/>
        <v/>
      </c>
    </row>
    <row r="213" spans="1:14">
      <c r="A213" s="146" t="str">
        <f>IF(C213="","",VLOOKUP('Opći dio'!$C$3,'Opći dio'!$L$6:$U$136,10,FALSE))</f>
        <v/>
      </c>
      <c r="B213" s="146" t="str">
        <f>IF(C213="","",VLOOKUP('Opći dio'!$C$3,'Opći dio'!$L$6:$U$136,9,FALSE))</f>
        <v/>
      </c>
      <c r="C213" s="152"/>
      <c r="D213" s="147" t="str">
        <f t="shared" si="30"/>
        <v/>
      </c>
      <c r="E213" s="152"/>
      <c r="F213" s="147" t="str">
        <f t="shared" si="31"/>
        <v/>
      </c>
      <c r="G213" s="199"/>
      <c r="H213" s="147" t="str">
        <f t="shared" si="32"/>
        <v/>
      </c>
      <c r="I213" s="196"/>
      <c r="J213" s="196"/>
      <c r="K213" s="196"/>
      <c r="M213" s="142" t="str">
        <f t="shared" si="33"/>
        <v/>
      </c>
      <c r="N213" s="142" t="str">
        <f t="shared" si="34"/>
        <v/>
      </c>
    </row>
    <row r="214" spans="1:14">
      <c r="A214" s="146" t="str">
        <f>IF(C214="","",VLOOKUP('Opći dio'!$C$3,'Opći dio'!$L$6:$U$136,10,FALSE))</f>
        <v/>
      </c>
      <c r="B214" s="146" t="str">
        <f>IF(C214="","",VLOOKUP('Opći dio'!$C$3,'Opći dio'!$L$6:$U$136,9,FALSE))</f>
        <v/>
      </c>
      <c r="C214" s="152"/>
      <c r="D214" s="147" t="str">
        <f t="shared" si="30"/>
        <v/>
      </c>
      <c r="E214" s="152"/>
      <c r="F214" s="147" t="str">
        <f t="shared" si="31"/>
        <v/>
      </c>
      <c r="G214" s="199"/>
      <c r="H214" s="147" t="str">
        <f t="shared" si="32"/>
        <v/>
      </c>
      <c r="I214" s="196"/>
      <c r="J214" s="196"/>
      <c r="K214" s="196"/>
      <c r="M214" s="142" t="str">
        <f t="shared" si="33"/>
        <v/>
      </c>
      <c r="N214" s="142" t="str">
        <f t="shared" si="34"/>
        <v/>
      </c>
    </row>
    <row r="215" spans="1:14">
      <c r="A215" s="146" t="str">
        <f>IF(C215="","",VLOOKUP('Opći dio'!$C$3,'Opći dio'!$L$6:$U$136,10,FALSE))</f>
        <v/>
      </c>
      <c r="B215" s="146" t="str">
        <f>IF(C215="","",VLOOKUP('Opći dio'!$C$3,'Opći dio'!$L$6:$U$136,9,FALSE))</f>
        <v/>
      </c>
      <c r="C215" s="152"/>
      <c r="D215" s="147" t="str">
        <f t="shared" si="30"/>
        <v/>
      </c>
      <c r="E215" s="152"/>
      <c r="F215" s="147" t="str">
        <f t="shared" si="31"/>
        <v/>
      </c>
      <c r="G215" s="199"/>
      <c r="H215" s="147" t="str">
        <f t="shared" si="32"/>
        <v/>
      </c>
      <c r="I215" s="196"/>
      <c r="J215" s="196"/>
      <c r="K215" s="196"/>
      <c r="M215" s="142" t="str">
        <f t="shared" si="33"/>
        <v/>
      </c>
      <c r="N215" s="142" t="str">
        <f t="shared" si="34"/>
        <v/>
      </c>
    </row>
    <row r="216" spans="1:14">
      <c r="A216" s="146" t="str">
        <f>IF(C216="","",VLOOKUP('Opći dio'!$C$3,'Opći dio'!$L$6:$U$136,10,FALSE))</f>
        <v/>
      </c>
      <c r="B216" s="146" t="str">
        <f>IF(C216="","",VLOOKUP('Opći dio'!$C$3,'Opći dio'!$L$6:$U$136,9,FALSE))</f>
        <v/>
      </c>
      <c r="C216" s="152"/>
      <c r="D216" s="147" t="str">
        <f t="shared" si="30"/>
        <v/>
      </c>
      <c r="E216" s="152"/>
      <c r="F216" s="147" t="str">
        <f t="shared" si="31"/>
        <v/>
      </c>
      <c r="G216" s="199"/>
      <c r="H216" s="147" t="str">
        <f t="shared" si="32"/>
        <v/>
      </c>
      <c r="I216" s="196"/>
      <c r="J216" s="196"/>
      <c r="K216" s="196"/>
      <c r="M216" s="142" t="str">
        <f t="shared" si="33"/>
        <v/>
      </c>
      <c r="N216" s="142" t="str">
        <f t="shared" si="34"/>
        <v/>
      </c>
    </row>
    <row r="217" spans="1:14">
      <c r="A217" s="146" t="str">
        <f>IF(C217="","",VLOOKUP('Opći dio'!$C$3,'Opći dio'!$L$6:$U$136,10,FALSE))</f>
        <v/>
      </c>
      <c r="B217" s="146" t="str">
        <f>IF(C217="","",VLOOKUP('Opći dio'!$C$3,'Opći dio'!$L$6:$U$136,9,FALSE))</f>
        <v/>
      </c>
      <c r="C217" s="152"/>
      <c r="D217" s="147" t="str">
        <f t="shared" si="30"/>
        <v/>
      </c>
      <c r="E217" s="152"/>
      <c r="F217" s="147" t="str">
        <f t="shared" si="31"/>
        <v/>
      </c>
      <c r="G217" s="199"/>
      <c r="H217" s="147" t="str">
        <f t="shared" si="32"/>
        <v/>
      </c>
      <c r="I217" s="196"/>
      <c r="J217" s="196"/>
      <c r="K217" s="196"/>
      <c r="M217" s="142" t="str">
        <f t="shared" si="33"/>
        <v/>
      </c>
      <c r="N217" s="142" t="str">
        <f t="shared" si="34"/>
        <v/>
      </c>
    </row>
    <row r="218" spans="1:14">
      <c r="A218" s="146" t="str">
        <f>IF(C218="","",VLOOKUP('Opći dio'!$C$3,'Opći dio'!$L$6:$U$136,10,FALSE))</f>
        <v/>
      </c>
      <c r="B218" s="146" t="str">
        <f>IF(C218="","",VLOOKUP('Opći dio'!$C$3,'Opći dio'!$L$6:$U$136,9,FALSE))</f>
        <v/>
      </c>
      <c r="C218" s="152"/>
      <c r="D218" s="147" t="str">
        <f t="shared" si="30"/>
        <v/>
      </c>
      <c r="E218" s="152"/>
      <c r="F218" s="147" t="str">
        <f t="shared" si="31"/>
        <v/>
      </c>
      <c r="G218" s="199"/>
      <c r="H218" s="147" t="str">
        <f t="shared" si="32"/>
        <v/>
      </c>
      <c r="I218" s="196"/>
      <c r="J218" s="196"/>
      <c r="K218" s="196"/>
      <c r="M218" s="142" t="str">
        <f t="shared" si="33"/>
        <v/>
      </c>
      <c r="N218" s="142" t="str">
        <f t="shared" si="34"/>
        <v/>
      </c>
    </row>
    <row r="219" spans="1:14">
      <c r="A219" s="146" t="str">
        <f>IF(C219="","",VLOOKUP('Opći dio'!$C$3,'Opći dio'!$L$6:$U$136,10,FALSE))</f>
        <v/>
      </c>
      <c r="B219" s="146" t="str">
        <f>IF(C219="","",VLOOKUP('Opći dio'!$C$3,'Opći dio'!$L$6:$U$136,9,FALSE))</f>
        <v/>
      </c>
      <c r="C219" s="152"/>
      <c r="D219" s="147" t="str">
        <f t="shared" si="30"/>
        <v/>
      </c>
      <c r="E219" s="152"/>
      <c r="F219" s="147" t="str">
        <f t="shared" si="31"/>
        <v/>
      </c>
      <c r="G219" s="199"/>
      <c r="H219" s="147" t="str">
        <f t="shared" si="32"/>
        <v/>
      </c>
      <c r="I219" s="196"/>
      <c r="J219" s="196"/>
      <c r="K219" s="196"/>
      <c r="M219" s="142" t="str">
        <f t="shared" si="33"/>
        <v/>
      </c>
      <c r="N219" s="142" t="str">
        <f t="shared" si="34"/>
        <v/>
      </c>
    </row>
    <row r="220" spans="1:14">
      <c r="A220" s="146" t="str">
        <f>IF(C220="","",VLOOKUP('Opći dio'!$C$3,'Opći dio'!$L$6:$U$136,10,FALSE))</f>
        <v/>
      </c>
      <c r="B220" s="146" t="str">
        <f>IF(C220="","",VLOOKUP('Opći dio'!$C$3,'Opći dio'!$L$6:$U$136,9,FALSE))</f>
        <v/>
      </c>
      <c r="C220" s="152"/>
      <c r="D220" s="147" t="str">
        <f t="shared" si="30"/>
        <v/>
      </c>
      <c r="E220" s="152"/>
      <c r="F220" s="147" t="str">
        <f t="shared" si="31"/>
        <v/>
      </c>
      <c r="G220" s="199"/>
      <c r="H220" s="147" t="str">
        <f t="shared" si="32"/>
        <v/>
      </c>
      <c r="I220" s="196"/>
      <c r="J220" s="196"/>
      <c r="K220" s="196"/>
      <c r="M220" s="142" t="str">
        <f t="shared" si="33"/>
        <v/>
      </c>
      <c r="N220" s="142" t="str">
        <f t="shared" si="34"/>
        <v/>
      </c>
    </row>
    <row r="221" spans="1:14">
      <c r="A221" s="146" t="str">
        <f>IF(C221="","",VLOOKUP('Opći dio'!$C$3,'Opći dio'!$L$6:$U$136,10,FALSE))</f>
        <v/>
      </c>
      <c r="B221" s="146" t="str">
        <f>IF(C221="","",VLOOKUP('Opći dio'!$C$3,'Opći dio'!$L$6:$U$136,9,FALSE))</f>
        <v/>
      </c>
      <c r="C221" s="152"/>
      <c r="D221" s="147" t="str">
        <f t="shared" si="30"/>
        <v/>
      </c>
      <c r="E221" s="152"/>
      <c r="F221" s="147" t="str">
        <f t="shared" si="31"/>
        <v/>
      </c>
      <c r="G221" s="199"/>
      <c r="H221" s="147" t="str">
        <f t="shared" si="32"/>
        <v/>
      </c>
      <c r="I221" s="196"/>
      <c r="J221" s="196"/>
      <c r="K221" s="196"/>
      <c r="M221" s="142" t="str">
        <f t="shared" si="33"/>
        <v/>
      </c>
      <c r="N221" s="142" t="str">
        <f t="shared" si="34"/>
        <v/>
      </c>
    </row>
    <row r="222" spans="1:14">
      <c r="A222" s="146" t="str">
        <f>IF(C222="","",VLOOKUP('Opći dio'!$C$3,'Opći dio'!$L$6:$U$136,10,FALSE))</f>
        <v/>
      </c>
      <c r="B222" s="146" t="str">
        <f>IF(C222="","",VLOOKUP('Opći dio'!$C$3,'Opći dio'!$L$6:$U$136,9,FALSE))</f>
        <v/>
      </c>
      <c r="C222" s="152"/>
      <c r="D222" s="147" t="str">
        <f t="shared" si="30"/>
        <v/>
      </c>
      <c r="E222" s="152"/>
      <c r="F222" s="147" t="str">
        <f t="shared" si="31"/>
        <v/>
      </c>
      <c r="G222" s="199"/>
      <c r="H222" s="147" t="str">
        <f t="shared" si="32"/>
        <v/>
      </c>
      <c r="I222" s="196"/>
      <c r="J222" s="196"/>
      <c r="K222" s="196"/>
      <c r="M222" s="142" t="str">
        <f t="shared" si="33"/>
        <v/>
      </c>
      <c r="N222" s="142" t="str">
        <f t="shared" si="34"/>
        <v/>
      </c>
    </row>
    <row r="223" spans="1:14">
      <c r="A223" s="146" t="str">
        <f>IF(C223="","",VLOOKUP('Opći dio'!$C$3,'Opći dio'!$L$6:$U$136,10,FALSE))</f>
        <v/>
      </c>
      <c r="B223" s="146" t="str">
        <f>IF(C223="","",VLOOKUP('Opći dio'!$C$3,'Opći dio'!$L$6:$U$136,9,FALSE))</f>
        <v/>
      </c>
      <c r="C223" s="152"/>
      <c r="D223" s="147" t="str">
        <f t="shared" si="30"/>
        <v/>
      </c>
      <c r="E223" s="152"/>
      <c r="F223" s="147" t="str">
        <f t="shared" si="31"/>
        <v/>
      </c>
      <c r="G223" s="199"/>
      <c r="H223" s="147" t="str">
        <f t="shared" si="32"/>
        <v/>
      </c>
      <c r="I223" s="196"/>
      <c r="J223" s="196"/>
      <c r="K223" s="196"/>
      <c r="M223" s="142" t="str">
        <f t="shared" si="33"/>
        <v/>
      </c>
      <c r="N223" s="142" t="str">
        <f t="shared" si="34"/>
        <v/>
      </c>
    </row>
    <row r="224" spans="1:14">
      <c r="A224" s="146" t="str">
        <f>IF(C224="","",VLOOKUP('Opći dio'!$C$3,'Opći dio'!$L$6:$U$136,10,FALSE))</f>
        <v/>
      </c>
      <c r="B224" s="146" t="str">
        <f>IF(C224="","",VLOOKUP('Opći dio'!$C$3,'Opći dio'!$L$6:$U$136,9,FALSE))</f>
        <v/>
      </c>
      <c r="C224" s="152"/>
      <c r="D224" s="147" t="str">
        <f t="shared" si="30"/>
        <v/>
      </c>
      <c r="E224" s="152"/>
      <c r="F224" s="147" t="str">
        <f t="shared" si="31"/>
        <v/>
      </c>
      <c r="G224" s="199"/>
      <c r="H224" s="147" t="str">
        <f t="shared" si="32"/>
        <v/>
      </c>
      <c r="I224" s="196"/>
      <c r="J224" s="196"/>
      <c r="K224" s="196"/>
      <c r="M224" s="142" t="str">
        <f t="shared" si="33"/>
        <v/>
      </c>
      <c r="N224" s="142" t="str">
        <f t="shared" si="34"/>
        <v/>
      </c>
    </row>
    <row r="225" spans="1:14">
      <c r="A225" s="146" t="str">
        <f>IF(C225="","",VLOOKUP('Opći dio'!$C$3,'Opći dio'!$L$6:$U$136,10,FALSE))</f>
        <v/>
      </c>
      <c r="B225" s="146" t="str">
        <f>IF(C225="","",VLOOKUP('Opći dio'!$C$3,'Opći dio'!$L$6:$U$136,9,FALSE))</f>
        <v/>
      </c>
      <c r="C225" s="152"/>
      <c r="D225" s="147" t="str">
        <f t="shared" si="30"/>
        <v/>
      </c>
      <c r="E225" s="152"/>
      <c r="F225" s="147" t="str">
        <f t="shared" si="31"/>
        <v/>
      </c>
      <c r="G225" s="199"/>
      <c r="H225" s="147" t="str">
        <f t="shared" si="32"/>
        <v/>
      </c>
      <c r="I225" s="196"/>
      <c r="J225" s="196"/>
      <c r="K225" s="196"/>
      <c r="M225" s="142" t="str">
        <f t="shared" si="33"/>
        <v/>
      </c>
      <c r="N225" s="142" t="str">
        <f t="shared" si="34"/>
        <v/>
      </c>
    </row>
    <row r="226" spans="1:14">
      <c r="A226" s="146" t="str">
        <f>IF(C226="","",VLOOKUP('Opći dio'!$C$3,'Opći dio'!$L$6:$U$136,10,FALSE))</f>
        <v/>
      </c>
      <c r="B226" s="146" t="str">
        <f>IF(C226="","",VLOOKUP('Opći dio'!$C$3,'Opći dio'!$L$6:$U$136,9,FALSE))</f>
        <v/>
      </c>
      <c r="C226" s="152"/>
      <c r="D226" s="147" t="str">
        <f t="shared" si="30"/>
        <v/>
      </c>
      <c r="E226" s="152"/>
      <c r="F226" s="147" t="str">
        <f t="shared" si="31"/>
        <v/>
      </c>
      <c r="G226" s="199"/>
      <c r="H226" s="147" t="str">
        <f t="shared" si="32"/>
        <v/>
      </c>
      <c r="I226" s="196"/>
      <c r="J226" s="196"/>
      <c r="K226" s="196"/>
      <c r="M226" s="142" t="str">
        <f t="shared" si="33"/>
        <v/>
      </c>
      <c r="N226" s="142" t="str">
        <f t="shared" si="34"/>
        <v/>
      </c>
    </row>
    <row r="227" spans="1:14">
      <c r="A227" s="146" t="str">
        <f>IF(C227="","",VLOOKUP('Opći dio'!$C$3,'Opći dio'!$L$6:$U$136,10,FALSE))</f>
        <v/>
      </c>
      <c r="B227" s="146" t="str">
        <f>IF(C227="","",VLOOKUP('Opći dio'!$C$3,'Opći dio'!$L$6:$U$136,9,FALSE))</f>
        <v/>
      </c>
      <c r="C227" s="152"/>
      <c r="D227" s="147" t="str">
        <f t="shared" si="30"/>
        <v/>
      </c>
      <c r="E227" s="152"/>
      <c r="F227" s="147" t="str">
        <f t="shared" si="31"/>
        <v/>
      </c>
      <c r="G227" s="199"/>
      <c r="H227" s="147" t="str">
        <f t="shared" si="32"/>
        <v/>
      </c>
      <c r="I227" s="196"/>
      <c r="J227" s="196"/>
      <c r="K227" s="196"/>
      <c r="M227" s="142" t="str">
        <f t="shared" si="33"/>
        <v/>
      </c>
      <c r="N227" s="142" t="str">
        <f t="shared" si="34"/>
        <v/>
      </c>
    </row>
    <row r="228" spans="1:14">
      <c r="A228" s="146" t="str">
        <f>IF(C228="","",VLOOKUP('Opći dio'!$C$3,'Opći dio'!$L$6:$U$136,10,FALSE))</f>
        <v/>
      </c>
      <c r="B228" s="146" t="str">
        <f>IF(C228="","",VLOOKUP('Opći dio'!$C$3,'Opći dio'!$L$6:$U$136,9,FALSE))</f>
        <v/>
      </c>
      <c r="C228" s="152"/>
      <c r="D228" s="147" t="str">
        <f t="shared" si="30"/>
        <v/>
      </c>
      <c r="E228" s="152"/>
      <c r="F228" s="147" t="str">
        <f t="shared" si="31"/>
        <v/>
      </c>
      <c r="G228" s="199"/>
      <c r="H228" s="147" t="str">
        <f t="shared" si="32"/>
        <v/>
      </c>
      <c r="I228" s="196"/>
      <c r="J228" s="196"/>
      <c r="K228" s="196"/>
      <c r="M228" s="142" t="str">
        <f t="shared" si="33"/>
        <v/>
      </c>
      <c r="N228" s="142" t="str">
        <f t="shared" si="34"/>
        <v/>
      </c>
    </row>
    <row r="229" spans="1:14">
      <c r="A229" s="146" t="str">
        <f>IF(C229="","",VLOOKUP('Opći dio'!$C$3,'Opći dio'!$L$6:$U$136,10,FALSE))</f>
        <v/>
      </c>
      <c r="B229" s="146" t="str">
        <f>IF(C229="","",VLOOKUP('Opći dio'!$C$3,'Opći dio'!$L$6:$U$136,9,FALSE))</f>
        <v/>
      </c>
      <c r="C229" s="152"/>
      <c r="D229" s="147" t="str">
        <f t="shared" si="30"/>
        <v/>
      </c>
      <c r="E229" s="152"/>
      <c r="F229" s="147" t="str">
        <f t="shared" si="31"/>
        <v/>
      </c>
      <c r="G229" s="199"/>
      <c r="H229" s="147" t="str">
        <f t="shared" si="32"/>
        <v/>
      </c>
      <c r="I229" s="196"/>
      <c r="J229" s="196"/>
      <c r="K229" s="196"/>
      <c r="M229" s="142" t="str">
        <f t="shared" si="33"/>
        <v/>
      </c>
      <c r="N229" s="142" t="str">
        <f t="shared" si="34"/>
        <v/>
      </c>
    </row>
    <row r="230" spans="1:14">
      <c r="A230" s="146" t="str">
        <f>IF(C230="","",VLOOKUP('Opći dio'!$C$3,'Opći dio'!$L$6:$U$136,10,FALSE))</f>
        <v/>
      </c>
      <c r="B230" s="146" t="str">
        <f>IF(C230="","",VLOOKUP('Opći dio'!$C$3,'Opći dio'!$L$6:$U$136,9,FALSE))</f>
        <v/>
      </c>
      <c r="C230" s="152"/>
      <c r="D230" s="147" t="str">
        <f t="shared" si="30"/>
        <v/>
      </c>
      <c r="E230" s="152"/>
      <c r="F230" s="147" t="str">
        <f t="shared" si="31"/>
        <v/>
      </c>
      <c r="G230" s="199"/>
      <c r="H230" s="147" t="str">
        <f t="shared" si="32"/>
        <v/>
      </c>
      <c r="I230" s="196"/>
      <c r="J230" s="196"/>
      <c r="K230" s="196"/>
      <c r="M230" s="142" t="str">
        <f t="shared" si="33"/>
        <v/>
      </c>
      <c r="N230" s="142" t="str">
        <f t="shared" si="34"/>
        <v/>
      </c>
    </row>
    <row r="231" spans="1:14">
      <c r="A231" s="146" t="str">
        <f>IF(C231="","",VLOOKUP('Opći dio'!$C$3,'Opći dio'!$L$6:$U$136,10,FALSE))</f>
        <v/>
      </c>
      <c r="B231" s="146" t="str">
        <f>IF(C231="","",VLOOKUP('Opći dio'!$C$3,'Opći dio'!$L$6:$U$136,9,FALSE))</f>
        <v/>
      </c>
      <c r="C231" s="152"/>
      <c r="D231" s="147" t="str">
        <f t="shared" si="30"/>
        <v/>
      </c>
      <c r="E231" s="152"/>
      <c r="F231" s="147" t="str">
        <f t="shared" si="31"/>
        <v/>
      </c>
      <c r="G231" s="199"/>
      <c r="H231" s="147" t="str">
        <f t="shared" si="32"/>
        <v/>
      </c>
      <c r="I231" s="196"/>
      <c r="J231" s="196"/>
      <c r="K231" s="196"/>
      <c r="M231" s="142" t="str">
        <f t="shared" si="33"/>
        <v/>
      </c>
      <c r="N231" s="142" t="str">
        <f t="shared" si="34"/>
        <v/>
      </c>
    </row>
    <row r="232" spans="1:14">
      <c r="A232" s="146" t="str">
        <f>IF(C232="","",VLOOKUP('Opći dio'!$C$3,'Opći dio'!$L$6:$U$136,10,FALSE))</f>
        <v/>
      </c>
      <c r="B232" s="146" t="str">
        <f>IF(C232="","",VLOOKUP('Opći dio'!$C$3,'Opći dio'!$L$6:$U$136,9,FALSE))</f>
        <v/>
      </c>
      <c r="C232" s="152"/>
      <c r="D232" s="147" t="str">
        <f t="shared" si="30"/>
        <v/>
      </c>
      <c r="E232" s="152"/>
      <c r="F232" s="147" t="str">
        <f t="shared" si="31"/>
        <v/>
      </c>
      <c r="G232" s="199"/>
      <c r="H232" s="147" t="str">
        <f t="shared" si="32"/>
        <v/>
      </c>
      <c r="I232" s="196"/>
      <c r="J232" s="196"/>
      <c r="K232" s="196"/>
      <c r="M232" s="142" t="str">
        <f t="shared" si="33"/>
        <v/>
      </c>
      <c r="N232" s="142" t="str">
        <f t="shared" si="34"/>
        <v/>
      </c>
    </row>
    <row r="233" spans="1:14">
      <c r="A233" s="146" t="str">
        <f>IF(C233="","",VLOOKUP('Opći dio'!$C$3,'Opći dio'!$L$6:$U$136,10,FALSE))</f>
        <v/>
      </c>
      <c r="B233" s="146" t="str">
        <f>IF(C233="","",VLOOKUP('Opći dio'!$C$3,'Opći dio'!$L$6:$U$136,9,FALSE))</f>
        <v/>
      </c>
      <c r="C233" s="152"/>
      <c r="D233" s="147" t="str">
        <f t="shared" si="30"/>
        <v/>
      </c>
      <c r="E233" s="152"/>
      <c r="F233" s="147" t="str">
        <f t="shared" si="31"/>
        <v/>
      </c>
      <c r="G233" s="199"/>
      <c r="H233" s="147" t="str">
        <f t="shared" si="32"/>
        <v/>
      </c>
      <c r="I233" s="196"/>
      <c r="J233" s="196"/>
      <c r="K233" s="196"/>
      <c r="M233" s="142" t="str">
        <f t="shared" si="33"/>
        <v/>
      </c>
      <c r="N233" s="142" t="str">
        <f t="shared" si="34"/>
        <v/>
      </c>
    </row>
    <row r="234" spans="1:14">
      <c r="A234" s="146" t="str">
        <f>IF(C234="","",VLOOKUP('Opći dio'!$C$3,'Opći dio'!$L$6:$U$136,10,FALSE))</f>
        <v/>
      </c>
      <c r="B234" s="146" t="str">
        <f>IF(C234="","",VLOOKUP('Opći dio'!$C$3,'Opći dio'!$L$6:$U$136,9,FALSE))</f>
        <v/>
      </c>
      <c r="C234" s="152"/>
      <c r="D234" s="147" t="str">
        <f t="shared" si="30"/>
        <v/>
      </c>
      <c r="E234" s="152"/>
      <c r="F234" s="147" t="str">
        <f t="shared" si="31"/>
        <v/>
      </c>
      <c r="G234" s="199"/>
      <c r="H234" s="147" t="str">
        <f t="shared" si="32"/>
        <v/>
      </c>
      <c r="I234" s="196"/>
      <c r="J234" s="196"/>
      <c r="K234" s="196"/>
      <c r="M234" s="142" t="str">
        <f t="shared" si="33"/>
        <v/>
      </c>
      <c r="N234" s="142" t="str">
        <f t="shared" si="34"/>
        <v/>
      </c>
    </row>
    <row r="235" spans="1:14">
      <c r="A235" s="146" t="str">
        <f>IF(C235="","",VLOOKUP('Opći dio'!$C$3,'Opći dio'!$L$6:$U$136,10,FALSE))</f>
        <v/>
      </c>
      <c r="B235" s="146" t="str">
        <f>IF(C235="","",VLOOKUP('Opći dio'!$C$3,'Opći dio'!$L$6:$U$136,9,FALSE))</f>
        <v/>
      </c>
      <c r="C235" s="152"/>
      <c r="D235" s="147" t="str">
        <f t="shared" si="30"/>
        <v/>
      </c>
      <c r="E235" s="152"/>
      <c r="F235" s="147" t="str">
        <f t="shared" si="31"/>
        <v/>
      </c>
      <c r="G235" s="199"/>
      <c r="H235" s="147" t="str">
        <f t="shared" si="32"/>
        <v/>
      </c>
      <c r="I235" s="196"/>
      <c r="J235" s="196"/>
      <c r="K235" s="196"/>
      <c r="M235" s="142" t="str">
        <f t="shared" si="33"/>
        <v/>
      </c>
      <c r="N235" s="142" t="str">
        <f t="shared" si="34"/>
        <v/>
      </c>
    </row>
    <row r="236" spans="1:14">
      <c r="A236" s="146" t="str">
        <f>IF(C236="","",VLOOKUP('Opći dio'!$C$3,'Opći dio'!$L$6:$U$136,10,FALSE))</f>
        <v/>
      </c>
      <c r="B236" s="146" t="str">
        <f>IF(C236="","",VLOOKUP('Opći dio'!$C$3,'Opći dio'!$L$6:$U$136,9,FALSE))</f>
        <v/>
      </c>
      <c r="C236" s="152"/>
      <c r="D236" s="147" t="str">
        <f t="shared" si="30"/>
        <v/>
      </c>
      <c r="E236" s="152"/>
      <c r="F236" s="147" t="str">
        <f t="shared" si="31"/>
        <v/>
      </c>
      <c r="G236" s="199"/>
      <c r="H236" s="147" t="str">
        <f t="shared" si="32"/>
        <v/>
      </c>
      <c r="I236" s="196"/>
      <c r="J236" s="196"/>
      <c r="K236" s="196"/>
      <c r="M236" s="142" t="str">
        <f t="shared" si="33"/>
        <v/>
      </c>
      <c r="N236" s="142" t="str">
        <f t="shared" si="34"/>
        <v/>
      </c>
    </row>
    <row r="237" spans="1:14">
      <c r="A237" s="146" t="str">
        <f>IF(C237="","",VLOOKUP('Opći dio'!$C$3,'Opći dio'!$L$6:$U$136,10,FALSE))</f>
        <v/>
      </c>
      <c r="B237" s="146" t="str">
        <f>IF(C237="","",VLOOKUP('Opći dio'!$C$3,'Opći dio'!$L$6:$U$136,9,FALSE))</f>
        <v/>
      </c>
      <c r="C237" s="152"/>
      <c r="D237" s="147" t="str">
        <f t="shared" si="30"/>
        <v/>
      </c>
      <c r="E237" s="152"/>
      <c r="F237" s="147" t="str">
        <f t="shared" si="31"/>
        <v/>
      </c>
      <c r="G237" s="199"/>
      <c r="H237" s="147" t="str">
        <f t="shared" si="32"/>
        <v/>
      </c>
      <c r="I237" s="196"/>
      <c r="J237" s="196"/>
      <c r="K237" s="196"/>
      <c r="M237" s="142" t="str">
        <f t="shared" si="33"/>
        <v/>
      </c>
      <c r="N237" s="142" t="str">
        <f t="shared" si="34"/>
        <v/>
      </c>
    </row>
    <row r="238" spans="1:14">
      <c r="A238" s="146" t="str">
        <f>IF(C238="","",VLOOKUP('Opći dio'!$C$3,'Opći dio'!$L$6:$U$136,10,FALSE))</f>
        <v/>
      </c>
      <c r="B238" s="146" t="str">
        <f>IF(C238="","",VLOOKUP('Opći dio'!$C$3,'Opći dio'!$L$6:$U$136,9,FALSE))</f>
        <v/>
      </c>
      <c r="C238" s="152"/>
      <c r="D238" s="147" t="str">
        <f t="shared" si="30"/>
        <v/>
      </c>
      <c r="E238" s="152"/>
      <c r="F238" s="147" t="str">
        <f t="shared" si="31"/>
        <v/>
      </c>
      <c r="G238" s="199"/>
      <c r="H238" s="147" t="str">
        <f t="shared" si="32"/>
        <v/>
      </c>
      <c r="I238" s="196"/>
      <c r="J238" s="196"/>
      <c r="K238" s="196"/>
      <c r="M238" s="142" t="str">
        <f t="shared" si="33"/>
        <v/>
      </c>
      <c r="N238" s="142" t="str">
        <f t="shared" si="34"/>
        <v/>
      </c>
    </row>
    <row r="239" spans="1:14">
      <c r="A239" s="146" t="str">
        <f>IF(C239="","",VLOOKUP('Opći dio'!$C$3,'Opći dio'!$L$6:$U$136,10,FALSE))</f>
        <v/>
      </c>
      <c r="B239" s="146" t="str">
        <f>IF(C239="","",VLOOKUP('Opći dio'!$C$3,'Opći dio'!$L$6:$U$136,9,FALSE))</f>
        <v/>
      </c>
      <c r="C239" s="152"/>
      <c r="D239" s="147" t="str">
        <f t="shared" si="30"/>
        <v/>
      </c>
      <c r="E239" s="152"/>
      <c r="F239" s="147" t="str">
        <f t="shared" si="31"/>
        <v/>
      </c>
      <c r="G239" s="199"/>
      <c r="H239" s="147" t="str">
        <f t="shared" si="32"/>
        <v/>
      </c>
      <c r="I239" s="196"/>
      <c r="J239" s="196"/>
      <c r="K239" s="196"/>
      <c r="M239" s="142" t="str">
        <f t="shared" si="33"/>
        <v/>
      </c>
      <c r="N239" s="142" t="str">
        <f t="shared" si="34"/>
        <v/>
      </c>
    </row>
    <row r="240" spans="1:14">
      <c r="A240" s="146" t="str">
        <f>IF(C240="","",VLOOKUP('Opći dio'!$C$3,'Opći dio'!$L$6:$U$136,10,FALSE))</f>
        <v/>
      </c>
      <c r="B240" s="146" t="str">
        <f>IF(C240="","",VLOOKUP('Opći dio'!$C$3,'Opći dio'!$L$6:$U$136,9,FALSE))</f>
        <v/>
      </c>
      <c r="C240" s="152"/>
      <c r="D240" s="147" t="str">
        <f t="shared" si="30"/>
        <v/>
      </c>
      <c r="E240" s="152"/>
      <c r="F240" s="147" t="str">
        <f t="shared" si="31"/>
        <v/>
      </c>
      <c r="G240" s="199"/>
      <c r="H240" s="147" t="str">
        <f t="shared" si="32"/>
        <v/>
      </c>
      <c r="I240" s="196"/>
      <c r="J240" s="196"/>
      <c r="K240" s="196"/>
      <c r="M240" s="142" t="str">
        <f t="shared" si="33"/>
        <v/>
      </c>
      <c r="N240" s="142" t="str">
        <f t="shared" si="34"/>
        <v/>
      </c>
    </row>
    <row r="241" spans="1:14">
      <c r="A241" s="146" t="str">
        <f>IF(C241="","",VLOOKUP('Opći dio'!$C$3,'Opći dio'!$L$6:$U$136,10,FALSE))</f>
        <v/>
      </c>
      <c r="B241" s="146" t="str">
        <f>IF(C241="","",VLOOKUP('Opći dio'!$C$3,'Opći dio'!$L$6:$U$136,9,FALSE))</f>
        <v/>
      </c>
      <c r="C241" s="152"/>
      <c r="D241" s="147" t="str">
        <f t="shared" si="30"/>
        <v/>
      </c>
      <c r="E241" s="152"/>
      <c r="F241" s="147" t="str">
        <f t="shared" si="31"/>
        <v/>
      </c>
      <c r="G241" s="199"/>
      <c r="H241" s="147" t="str">
        <f t="shared" si="32"/>
        <v/>
      </c>
      <c r="I241" s="196"/>
      <c r="J241" s="196"/>
      <c r="K241" s="196"/>
      <c r="M241" s="142" t="str">
        <f t="shared" si="33"/>
        <v/>
      </c>
      <c r="N241" s="142" t="str">
        <f t="shared" si="34"/>
        <v/>
      </c>
    </row>
    <row r="242" spans="1:14">
      <c r="A242" s="146" t="str">
        <f>IF(C242="","",VLOOKUP('Opći dio'!$C$3,'Opći dio'!$L$6:$U$136,10,FALSE))</f>
        <v/>
      </c>
      <c r="B242" s="146" t="str">
        <f>IF(C242="","",VLOOKUP('Opći dio'!$C$3,'Opći dio'!$L$6:$U$136,9,FALSE))</f>
        <v/>
      </c>
      <c r="C242" s="152"/>
      <c r="D242" s="147" t="str">
        <f t="shared" si="30"/>
        <v/>
      </c>
      <c r="E242" s="152"/>
      <c r="F242" s="147" t="str">
        <f t="shared" si="31"/>
        <v/>
      </c>
      <c r="G242" s="199"/>
      <c r="H242" s="147" t="str">
        <f t="shared" si="32"/>
        <v/>
      </c>
      <c r="I242" s="196"/>
      <c r="J242" s="196"/>
      <c r="K242" s="196"/>
      <c r="M242" s="142" t="str">
        <f t="shared" si="33"/>
        <v/>
      </c>
      <c r="N242" s="142" t="str">
        <f t="shared" si="34"/>
        <v/>
      </c>
    </row>
    <row r="243" spans="1:14">
      <c r="A243" s="146" t="str">
        <f>IF(C243="","",VLOOKUP('Opći dio'!$C$3,'Opći dio'!$L$6:$U$136,10,FALSE))</f>
        <v/>
      </c>
      <c r="B243" s="146" t="str">
        <f>IF(C243="","",VLOOKUP('Opći dio'!$C$3,'Opći dio'!$L$6:$U$136,9,FALSE))</f>
        <v/>
      </c>
      <c r="C243" s="152"/>
      <c r="D243" s="147" t="str">
        <f t="shared" si="30"/>
        <v/>
      </c>
      <c r="E243" s="152"/>
      <c r="F243" s="147" t="str">
        <f t="shared" si="31"/>
        <v/>
      </c>
      <c r="G243" s="199"/>
      <c r="H243" s="147" t="str">
        <f t="shared" si="32"/>
        <v/>
      </c>
      <c r="I243" s="196"/>
      <c r="J243" s="196"/>
      <c r="K243" s="196"/>
      <c r="M243" s="142" t="str">
        <f t="shared" si="33"/>
        <v/>
      </c>
      <c r="N243" s="142" t="str">
        <f t="shared" si="34"/>
        <v/>
      </c>
    </row>
    <row r="244" spans="1:14">
      <c r="A244" s="146" t="str">
        <f>IF(C244="","",VLOOKUP('Opći dio'!$C$3,'Opći dio'!$L$6:$U$136,10,FALSE))</f>
        <v/>
      </c>
      <c r="B244" s="146" t="str">
        <f>IF(C244="","",VLOOKUP('Opći dio'!$C$3,'Opći dio'!$L$6:$U$136,9,FALSE))</f>
        <v/>
      </c>
      <c r="C244" s="152"/>
      <c r="D244" s="147" t="str">
        <f t="shared" si="30"/>
        <v/>
      </c>
      <c r="E244" s="152"/>
      <c r="F244" s="147" t="str">
        <f t="shared" si="31"/>
        <v/>
      </c>
      <c r="G244" s="199"/>
      <c r="H244" s="147" t="str">
        <f t="shared" si="32"/>
        <v/>
      </c>
      <c r="I244" s="196"/>
      <c r="J244" s="196"/>
      <c r="K244" s="196"/>
      <c r="M244" s="142" t="str">
        <f t="shared" si="33"/>
        <v/>
      </c>
      <c r="N244" s="142" t="str">
        <f t="shared" si="34"/>
        <v/>
      </c>
    </row>
    <row r="245" spans="1:14">
      <c r="A245" s="146" t="str">
        <f>IF(C245="","",VLOOKUP('Opći dio'!$C$3,'Opći dio'!$L$6:$U$136,10,FALSE))</f>
        <v/>
      </c>
      <c r="B245" s="146" t="str">
        <f>IF(C245="","",VLOOKUP('Opći dio'!$C$3,'Opći dio'!$L$6:$U$136,9,FALSE))</f>
        <v/>
      </c>
      <c r="C245" s="152"/>
      <c r="D245" s="147" t="str">
        <f t="shared" si="30"/>
        <v/>
      </c>
      <c r="E245" s="152"/>
      <c r="F245" s="147" t="str">
        <f t="shared" si="31"/>
        <v/>
      </c>
      <c r="G245" s="199"/>
      <c r="H245" s="147" t="str">
        <f t="shared" si="32"/>
        <v/>
      </c>
      <c r="I245" s="196"/>
      <c r="J245" s="196"/>
      <c r="K245" s="196"/>
      <c r="M245" s="142" t="str">
        <f t="shared" si="33"/>
        <v/>
      </c>
      <c r="N245" s="142" t="str">
        <f t="shared" si="34"/>
        <v/>
      </c>
    </row>
    <row r="246" spans="1:14">
      <c r="A246" s="146" t="str">
        <f>IF(C246="","",VLOOKUP('Opći dio'!$C$3,'Opći dio'!$L$6:$U$136,10,FALSE))</f>
        <v/>
      </c>
      <c r="B246" s="146" t="str">
        <f>IF(C246="","",VLOOKUP('Opći dio'!$C$3,'Opći dio'!$L$6:$U$136,9,FALSE))</f>
        <v/>
      </c>
      <c r="C246" s="152"/>
      <c r="D246" s="147" t="str">
        <f t="shared" si="30"/>
        <v/>
      </c>
      <c r="E246" s="152"/>
      <c r="F246" s="147" t="str">
        <f t="shared" si="31"/>
        <v/>
      </c>
      <c r="G246" s="199"/>
      <c r="H246" s="147" t="str">
        <f t="shared" si="32"/>
        <v/>
      </c>
      <c r="I246" s="196"/>
      <c r="J246" s="196"/>
      <c r="K246" s="196"/>
      <c r="M246" s="142" t="str">
        <f t="shared" si="33"/>
        <v/>
      </c>
      <c r="N246" s="142" t="str">
        <f t="shared" si="34"/>
        <v/>
      </c>
    </row>
    <row r="247" spans="1:14">
      <c r="A247" s="146" t="str">
        <f>IF(C247="","",VLOOKUP('Opći dio'!$C$3,'Opći dio'!$L$6:$U$136,10,FALSE))</f>
        <v/>
      </c>
      <c r="B247" s="146" t="str">
        <f>IF(C247="","",VLOOKUP('Opći dio'!$C$3,'Opći dio'!$L$6:$U$136,9,FALSE))</f>
        <v/>
      </c>
      <c r="C247" s="152"/>
      <c r="D247" s="147" t="str">
        <f t="shared" si="30"/>
        <v/>
      </c>
      <c r="E247" s="152"/>
      <c r="F247" s="147" t="str">
        <f t="shared" si="31"/>
        <v/>
      </c>
      <c r="G247" s="199"/>
      <c r="H247" s="147" t="str">
        <f t="shared" si="32"/>
        <v/>
      </c>
      <c r="I247" s="196"/>
      <c r="J247" s="196"/>
      <c r="K247" s="196"/>
      <c r="M247" s="142" t="str">
        <f t="shared" si="33"/>
        <v/>
      </c>
      <c r="N247" s="142" t="str">
        <f t="shared" si="34"/>
        <v/>
      </c>
    </row>
    <row r="248" spans="1:14">
      <c r="A248" s="146" t="str">
        <f>IF(C248="","",VLOOKUP('Opći dio'!$C$3,'Opći dio'!$L$6:$U$136,10,FALSE))</f>
        <v/>
      </c>
      <c r="B248" s="146" t="str">
        <f>IF(C248="","",VLOOKUP('Opći dio'!$C$3,'Opći dio'!$L$6:$U$136,9,FALSE))</f>
        <v/>
      </c>
      <c r="C248" s="152"/>
      <c r="D248" s="147" t="str">
        <f t="shared" si="30"/>
        <v/>
      </c>
      <c r="E248" s="152"/>
      <c r="F248" s="147" t="str">
        <f t="shared" si="31"/>
        <v/>
      </c>
      <c r="G248" s="199"/>
      <c r="H248" s="147" t="str">
        <f t="shared" si="32"/>
        <v/>
      </c>
      <c r="I248" s="196"/>
      <c r="J248" s="196"/>
      <c r="K248" s="196"/>
      <c r="M248" s="142" t="str">
        <f t="shared" si="33"/>
        <v/>
      </c>
      <c r="N248" s="142" t="str">
        <f t="shared" si="34"/>
        <v/>
      </c>
    </row>
    <row r="249" spans="1:14">
      <c r="A249" s="146" t="str">
        <f>IF(C249="","",VLOOKUP('Opći dio'!$C$3,'Opći dio'!$L$6:$U$136,10,FALSE))</f>
        <v/>
      </c>
      <c r="B249" s="146" t="str">
        <f>IF(C249="","",VLOOKUP('Opći dio'!$C$3,'Opći dio'!$L$6:$U$136,9,FALSE))</f>
        <v/>
      </c>
      <c r="C249" s="152"/>
      <c r="D249" s="147" t="str">
        <f t="shared" si="30"/>
        <v/>
      </c>
      <c r="E249" s="152"/>
      <c r="F249" s="147" t="str">
        <f t="shared" si="31"/>
        <v/>
      </c>
      <c r="G249" s="199"/>
      <c r="H249" s="147" t="str">
        <f t="shared" si="32"/>
        <v/>
      </c>
      <c r="I249" s="196"/>
      <c r="J249" s="196"/>
      <c r="K249" s="196"/>
      <c r="M249" s="142" t="str">
        <f t="shared" si="33"/>
        <v/>
      </c>
      <c r="N249" s="142" t="str">
        <f t="shared" si="34"/>
        <v/>
      </c>
    </row>
    <row r="250" spans="1:14">
      <c r="A250" s="146" t="str">
        <f>IF(C250="","",VLOOKUP('Opći dio'!$C$3,'Opći dio'!$L$6:$U$136,10,FALSE))</f>
        <v/>
      </c>
      <c r="B250" s="146" t="str">
        <f>IF(C250="","",VLOOKUP('Opći dio'!$C$3,'Opći dio'!$L$6:$U$136,9,FALSE))</f>
        <v/>
      </c>
      <c r="C250" s="152"/>
      <c r="D250" s="147" t="str">
        <f t="shared" si="30"/>
        <v/>
      </c>
      <c r="E250" s="152"/>
      <c r="F250" s="147" t="str">
        <f t="shared" si="31"/>
        <v/>
      </c>
      <c r="G250" s="199"/>
      <c r="H250" s="147" t="str">
        <f t="shared" si="32"/>
        <v/>
      </c>
      <c r="I250" s="196"/>
      <c r="J250" s="196"/>
      <c r="K250" s="196"/>
      <c r="M250" s="142" t="str">
        <f t="shared" si="33"/>
        <v/>
      </c>
      <c r="N250" s="142" t="str">
        <f t="shared" si="34"/>
        <v/>
      </c>
    </row>
    <row r="251" spans="1:14">
      <c r="A251" s="146" t="str">
        <f>IF(C251="","",VLOOKUP('Opći dio'!$C$3,'Opći dio'!$L$6:$U$136,10,FALSE))</f>
        <v/>
      </c>
      <c r="B251" s="146" t="str">
        <f>IF(C251="","",VLOOKUP('Opći dio'!$C$3,'Opći dio'!$L$6:$U$136,9,FALSE))</f>
        <v/>
      </c>
      <c r="C251" s="152"/>
      <c r="D251" s="147" t="str">
        <f t="shared" si="30"/>
        <v/>
      </c>
      <c r="E251" s="152"/>
      <c r="F251" s="147" t="str">
        <f t="shared" si="31"/>
        <v/>
      </c>
      <c r="G251" s="199"/>
      <c r="H251" s="147" t="str">
        <f t="shared" si="32"/>
        <v/>
      </c>
      <c r="I251" s="196"/>
      <c r="J251" s="196"/>
      <c r="K251" s="196"/>
      <c r="M251" s="142" t="str">
        <f t="shared" si="33"/>
        <v/>
      </c>
      <c r="N251" s="142" t="str">
        <f t="shared" si="34"/>
        <v/>
      </c>
    </row>
    <row r="252" spans="1:14">
      <c r="A252" s="146" t="str">
        <f>IF(C252="","",VLOOKUP('Opći dio'!$C$3,'Opći dio'!$L$6:$U$136,10,FALSE))</f>
        <v/>
      </c>
      <c r="B252" s="146" t="str">
        <f>IF(C252="","",VLOOKUP('Opći dio'!$C$3,'Opći dio'!$L$6:$U$136,9,FALSE))</f>
        <v/>
      </c>
      <c r="C252" s="152"/>
      <c r="D252" s="147" t="str">
        <f t="shared" si="30"/>
        <v/>
      </c>
      <c r="E252" s="152"/>
      <c r="F252" s="147" t="str">
        <f t="shared" si="31"/>
        <v/>
      </c>
      <c r="G252" s="199"/>
      <c r="H252" s="147" t="str">
        <f t="shared" si="32"/>
        <v/>
      </c>
      <c r="I252" s="196"/>
      <c r="J252" s="196"/>
      <c r="K252" s="196"/>
      <c r="M252" s="142" t="str">
        <f t="shared" si="33"/>
        <v/>
      </c>
      <c r="N252" s="142" t="str">
        <f t="shared" si="34"/>
        <v/>
      </c>
    </row>
    <row r="253" spans="1:14">
      <c r="A253" s="146" t="str">
        <f>IF(C253="","",VLOOKUP('Opći dio'!$C$3,'Opći dio'!$L$6:$U$136,10,FALSE))</f>
        <v/>
      </c>
      <c r="B253" s="146" t="str">
        <f>IF(C253="","",VLOOKUP('Opći dio'!$C$3,'Opći dio'!$L$6:$U$136,9,FALSE))</f>
        <v/>
      </c>
      <c r="C253" s="152"/>
      <c r="D253" s="147" t="str">
        <f t="shared" si="30"/>
        <v/>
      </c>
      <c r="E253" s="152"/>
      <c r="F253" s="147" t="str">
        <f t="shared" si="31"/>
        <v/>
      </c>
      <c r="G253" s="199"/>
      <c r="H253" s="147" t="str">
        <f t="shared" si="32"/>
        <v/>
      </c>
      <c r="I253" s="196"/>
      <c r="J253" s="196"/>
      <c r="K253" s="196"/>
      <c r="M253" s="142" t="str">
        <f t="shared" si="33"/>
        <v/>
      </c>
      <c r="N253" s="142" t="str">
        <f t="shared" si="34"/>
        <v/>
      </c>
    </row>
    <row r="254" spans="1:14">
      <c r="A254" s="146" t="str">
        <f>IF(C254="","",VLOOKUP('Opći dio'!$C$3,'Opći dio'!$L$6:$U$136,10,FALSE))</f>
        <v/>
      </c>
      <c r="B254" s="146" t="str">
        <f>IF(C254="","",VLOOKUP('Opći dio'!$C$3,'Opći dio'!$L$6:$U$136,9,FALSE))</f>
        <v/>
      </c>
      <c r="C254" s="152"/>
      <c r="D254" s="147" t="str">
        <f t="shared" si="30"/>
        <v/>
      </c>
      <c r="E254" s="152"/>
      <c r="F254" s="147" t="str">
        <f t="shared" si="31"/>
        <v/>
      </c>
      <c r="G254" s="199"/>
      <c r="H254" s="147" t="str">
        <f t="shared" si="32"/>
        <v/>
      </c>
      <c r="I254" s="196"/>
      <c r="J254" s="196"/>
      <c r="K254" s="196"/>
      <c r="M254" s="142" t="str">
        <f t="shared" si="33"/>
        <v/>
      </c>
      <c r="N254" s="142" t="str">
        <f t="shared" si="34"/>
        <v/>
      </c>
    </row>
    <row r="255" spans="1:14">
      <c r="A255" s="146" t="str">
        <f>IF(C255="","",VLOOKUP('Opći dio'!$C$3,'Opći dio'!$L$6:$U$136,10,FALSE))</f>
        <v/>
      </c>
      <c r="B255" s="146" t="str">
        <f>IF(C255="","",VLOOKUP('Opći dio'!$C$3,'Opći dio'!$L$6:$U$136,9,FALSE))</f>
        <v/>
      </c>
      <c r="C255" s="152"/>
      <c r="D255" s="147" t="str">
        <f t="shared" si="30"/>
        <v/>
      </c>
      <c r="E255" s="152"/>
      <c r="F255" s="147" t="str">
        <f t="shared" si="31"/>
        <v/>
      </c>
      <c r="G255" s="199"/>
      <c r="H255" s="147" t="str">
        <f t="shared" si="32"/>
        <v/>
      </c>
      <c r="I255" s="196"/>
      <c r="J255" s="196"/>
      <c r="K255" s="196"/>
      <c r="M255" s="142" t="str">
        <f t="shared" si="33"/>
        <v/>
      </c>
      <c r="N255" s="142" t="str">
        <f t="shared" si="34"/>
        <v/>
      </c>
    </row>
    <row r="256" spans="1:14">
      <c r="A256" s="146" t="str">
        <f>IF(C256="","",VLOOKUP('Opći dio'!$C$3,'Opći dio'!$L$6:$U$136,10,FALSE))</f>
        <v/>
      </c>
      <c r="B256" s="146" t="str">
        <f>IF(C256="","",VLOOKUP('Opći dio'!$C$3,'Opći dio'!$L$6:$U$136,9,FALSE))</f>
        <v/>
      </c>
      <c r="C256" s="152"/>
      <c r="D256" s="147" t="str">
        <f t="shared" si="30"/>
        <v/>
      </c>
      <c r="E256" s="152"/>
      <c r="F256" s="147" t="str">
        <f t="shared" si="31"/>
        <v/>
      </c>
      <c r="G256" s="199"/>
      <c r="H256" s="147" t="str">
        <f t="shared" si="32"/>
        <v/>
      </c>
      <c r="I256" s="196"/>
      <c r="J256" s="196"/>
      <c r="K256" s="196"/>
      <c r="M256" s="142" t="str">
        <f t="shared" si="33"/>
        <v/>
      </c>
      <c r="N256" s="142" t="str">
        <f t="shared" si="34"/>
        <v/>
      </c>
    </row>
    <row r="257" spans="1:14">
      <c r="A257" s="146" t="str">
        <f>IF(C257="","",VLOOKUP('Opći dio'!$C$3,'Opći dio'!$L$6:$U$136,10,FALSE))</f>
        <v/>
      </c>
      <c r="B257" s="146" t="str">
        <f>IF(C257="","",VLOOKUP('Opći dio'!$C$3,'Opći dio'!$L$6:$U$136,9,FALSE))</f>
        <v/>
      </c>
      <c r="C257" s="152"/>
      <c r="D257" s="147" t="str">
        <f t="shared" si="30"/>
        <v/>
      </c>
      <c r="E257" s="152"/>
      <c r="F257" s="147" t="str">
        <f t="shared" si="31"/>
        <v/>
      </c>
      <c r="G257" s="199"/>
      <c r="H257" s="147" t="str">
        <f t="shared" si="32"/>
        <v/>
      </c>
      <c r="I257" s="196"/>
      <c r="J257" s="196"/>
      <c r="K257" s="196"/>
      <c r="M257" s="142" t="str">
        <f t="shared" si="33"/>
        <v/>
      </c>
      <c r="N257" s="142" t="str">
        <f t="shared" si="34"/>
        <v/>
      </c>
    </row>
    <row r="258" spans="1:14">
      <c r="A258" s="146" t="str">
        <f>IF(C258="","",VLOOKUP('Opći dio'!$C$3,'Opći dio'!$L$6:$U$136,10,FALSE))</f>
        <v/>
      </c>
      <c r="B258" s="146" t="str">
        <f>IF(C258="","",VLOOKUP('Opći dio'!$C$3,'Opći dio'!$L$6:$U$136,9,FALSE))</f>
        <v/>
      </c>
      <c r="C258" s="152"/>
      <c r="D258" s="147" t="str">
        <f t="shared" si="30"/>
        <v/>
      </c>
      <c r="E258" s="152"/>
      <c r="F258" s="147" t="str">
        <f t="shared" si="31"/>
        <v/>
      </c>
      <c r="G258" s="199"/>
      <c r="H258" s="147" t="str">
        <f t="shared" si="32"/>
        <v/>
      </c>
      <c r="I258" s="196"/>
      <c r="J258" s="196"/>
      <c r="K258" s="196"/>
      <c r="M258" s="142" t="str">
        <f t="shared" si="33"/>
        <v/>
      </c>
      <c r="N258" s="142" t="str">
        <f t="shared" si="34"/>
        <v/>
      </c>
    </row>
    <row r="259" spans="1:14">
      <c r="A259" s="146" t="str">
        <f>IF(C259="","",VLOOKUP('Opći dio'!$C$3,'Opći dio'!$L$6:$U$136,10,FALSE))</f>
        <v/>
      </c>
      <c r="B259" s="146" t="str">
        <f>IF(C259="","",VLOOKUP('Opći dio'!$C$3,'Opći dio'!$L$6:$U$136,9,FALSE))</f>
        <v/>
      </c>
      <c r="C259" s="152"/>
      <c r="D259" s="147" t="str">
        <f t="shared" si="30"/>
        <v/>
      </c>
      <c r="E259" s="152"/>
      <c r="F259" s="147" t="str">
        <f t="shared" si="31"/>
        <v/>
      </c>
      <c r="G259" s="199"/>
      <c r="H259" s="147" t="str">
        <f t="shared" si="32"/>
        <v/>
      </c>
      <c r="I259" s="196"/>
      <c r="J259" s="196"/>
      <c r="K259" s="196"/>
      <c r="M259" s="142" t="str">
        <f t="shared" si="33"/>
        <v/>
      </c>
      <c r="N259" s="142" t="str">
        <f t="shared" si="34"/>
        <v/>
      </c>
    </row>
    <row r="260" spans="1:14">
      <c r="A260" s="146" t="str">
        <f>IF(C260="","",VLOOKUP('Opći dio'!$C$3,'Opći dio'!$L$6:$U$136,10,FALSE))</f>
        <v/>
      </c>
      <c r="B260" s="146" t="str">
        <f>IF(C260="","",VLOOKUP('Opći dio'!$C$3,'Opći dio'!$L$6:$U$136,9,FALSE))</f>
        <v/>
      </c>
      <c r="C260" s="152"/>
      <c r="D260" s="147" t="str">
        <f t="shared" ref="D260:D323" si="35">IFERROR(VLOOKUP(C260,$O$6:$P$22,2,FALSE),"")</f>
        <v/>
      </c>
      <c r="E260" s="152"/>
      <c r="F260" s="147" t="str">
        <f t="shared" ref="F260:F323" si="36">IFERROR(VLOOKUP(E260,$R$5:$T$129,2,FALSE),"")</f>
        <v/>
      </c>
      <c r="G260" s="199"/>
      <c r="H260" s="147" t="str">
        <f t="shared" ref="H260:H323" si="37">IFERROR(VLOOKUP(G260,$X$6:$Y$171,2,FALSE),"")</f>
        <v/>
      </c>
      <c r="I260" s="196"/>
      <c r="J260" s="196"/>
      <c r="K260" s="196"/>
      <c r="M260" s="142" t="str">
        <f t="shared" ref="M260:M323" si="38">LEFT(E260,3)</f>
        <v/>
      </c>
      <c r="N260" s="142" t="str">
        <f t="shared" ref="N260:N323" si="39">LEFT(E260,2)</f>
        <v/>
      </c>
    </row>
    <row r="261" spans="1:14">
      <c r="A261" s="146" t="str">
        <f>IF(C261="","",VLOOKUP('Opći dio'!$C$3,'Opći dio'!$L$6:$U$136,10,FALSE))</f>
        <v/>
      </c>
      <c r="B261" s="146" t="str">
        <f>IF(C261="","",VLOOKUP('Opći dio'!$C$3,'Opći dio'!$L$6:$U$136,9,FALSE))</f>
        <v/>
      </c>
      <c r="C261" s="152"/>
      <c r="D261" s="147" t="str">
        <f t="shared" si="35"/>
        <v/>
      </c>
      <c r="E261" s="152"/>
      <c r="F261" s="147" t="str">
        <f t="shared" si="36"/>
        <v/>
      </c>
      <c r="G261" s="199"/>
      <c r="H261" s="147" t="str">
        <f t="shared" si="37"/>
        <v/>
      </c>
      <c r="I261" s="196"/>
      <c r="J261" s="196"/>
      <c r="K261" s="196"/>
      <c r="M261" s="142" t="str">
        <f t="shared" si="38"/>
        <v/>
      </c>
      <c r="N261" s="142" t="str">
        <f t="shared" si="39"/>
        <v/>
      </c>
    </row>
    <row r="262" spans="1:14">
      <c r="A262" s="146" t="str">
        <f>IF(C262="","",VLOOKUP('Opći dio'!$C$3,'Opći dio'!$L$6:$U$136,10,FALSE))</f>
        <v/>
      </c>
      <c r="B262" s="146" t="str">
        <f>IF(C262="","",VLOOKUP('Opći dio'!$C$3,'Opći dio'!$L$6:$U$136,9,FALSE))</f>
        <v/>
      </c>
      <c r="C262" s="152"/>
      <c r="D262" s="147" t="str">
        <f t="shared" si="35"/>
        <v/>
      </c>
      <c r="E262" s="152"/>
      <c r="F262" s="147" t="str">
        <f t="shared" si="36"/>
        <v/>
      </c>
      <c r="G262" s="199"/>
      <c r="H262" s="147" t="str">
        <f t="shared" si="37"/>
        <v/>
      </c>
      <c r="I262" s="196"/>
      <c r="J262" s="196"/>
      <c r="K262" s="196"/>
      <c r="M262" s="142" t="str">
        <f t="shared" si="38"/>
        <v/>
      </c>
      <c r="N262" s="142" t="str">
        <f t="shared" si="39"/>
        <v/>
      </c>
    </row>
    <row r="263" spans="1:14">
      <c r="A263" s="146" t="str">
        <f>IF(C263="","",VLOOKUP('Opći dio'!$C$3,'Opći dio'!$L$6:$U$136,10,FALSE))</f>
        <v/>
      </c>
      <c r="B263" s="146" t="str">
        <f>IF(C263="","",VLOOKUP('Opći dio'!$C$3,'Opći dio'!$L$6:$U$136,9,FALSE))</f>
        <v/>
      </c>
      <c r="C263" s="152"/>
      <c r="D263" s="147" t="str">
        <f t="shared" si="35"/>
        <v/>
      </c>
      <c r="E263" s="152"/>
      <c r="F263" s="147" t="str">
        <f t="shared" si="36"/>
        <v/>
      </c>
      <c r="G263" s="199"/>
      <c r="H263" s="147" t="str">
        <f t="shared" si="37"/>
        <v/>
      </c>
      <c r="I263" s="196"/>
      <c r="J263" s="196"/>
      <c r="K263" s="196"/>
      <c r="M263" s="142" t="str">
        <f t="shared" si="38"/>
        <v/>
      </c>
      <c r="N263" s="142" t="str">
        <f t="shared" si="39"/>
        <v/>
      </c>
    </row>
    <row r="264" spans="1:14">
      <c r="A264" s="146" t="str">
        <f>IF(C264="","",VLOOKUP('Opći dio'!$C$3,'Opći dio'!$L$6:$U$136,10,FALSE))</f>
        <v/>
      </c>
      <c r="B264" s="146" t="str">
        <f>IF(C264="","",VLOOKUP('Opći dio'!$C$3,'Opći dio'!$L$6:$U$136,9,FALSE))</f>
        <v/>
      </c>
      <c r="C264" s="152"/>
      <c r="D264" s="147" t="str">
        <f t="shared" si="35"/>
        <v/>
      </c>
      <c r="E264" s="152"/>
      <c r="F264" s="147" t="str">
        <f t="shared" si="36"/>
        <v/>
      </c>
      <c r="G264" s="199"/>
      <c r="H264" s="147" t="str">
        <f t="shared" si="37"/>
        <v/>
      </c>
      <c r="I264" s="196"/>
      <c r="J264" s="196"/>
      <c r="K264" s="196"/>
      <c r="M264" s="142" t="str">
        <f t="shared" si="38"/>
        <v/>
      </c>
      <c r="N264" s="142" t="str">
        <f t="shared" si="39"/>
        <v/>
      </c>
    </row>
    <row r="265" spans="1:14">
      <c r="A265" s="146" t="str">
        <f>IF(C265="","",VLOOKUP('Opći dio'!$C$3,'Opći dio'!$L$6:$U$136,10,FALSE))</f>
        <v/>
      </c>
      <c r="B265" s="146" t="str">
        <f>IF(C265="","",VLOOKUP('Opći dio'!$C$3,'Opći dio'!$L$6:$U$136,9,FALSE))</f>
        <v/>
      </c>
      <c r="C265" s="152"/>
      <c r="D265" s="147" t="str">
        <f t="shared" si="35"/>
        <v/>
      </c>
      <c r="E265" s="152"/>
      <c r="F265" s="147" t="str">
        <f t="shared" si="36"/>
        <v/>
      </c>
      <c r="G265" s="199"/>
      <c r="H265" s="147" t="str">
        <f t="shared" si="37"/>
        <v/>
      </c>
      <c r="I265" s="196"/>
      <c r="J265" s="196"/>
      <c r="K265" s="196"/>
      <c r="M265" s="142" t="str">
        <f t="shared" si="38"/>
        <v/>
      </c>
      <c r="N265" s="142" t="str">
        <f t="shared" si="39"/>
        <v/>
      </c>
    </row>
    <row r="266" spans="1:14">
      <c r="A266" s="146" t="str">
        <f>IF(C266="","",VLOOKUP('Opći dio'!$C$3,'Opći dio'!$L$6:$U$136,10,FALSE))</f>
        <v/>
      </c>
      <c r="B266" s="146" t="str">
        <f>IF(C266="","",VLOOKUP('Opći dio'!$C$3,'Opći dio'!$L$6:$U$136,9,FALSE))</f>
        <v/>
      </c>
      <c r="C266" s="152"/>
      <c r="D266" s="147" t="str">
        <f t="shared" si="35"/>
        <v/>
      </c>
      <c r="E266" s="152"/>
      <c r="F266" s="147" t="str">
        <f t="shared" si="36"/>
        <v/>
      </c>
      <c r="G266" s="199"/>
      <c r="H266" s="147" t="str">
        <f t="shared" si="37"/>
        <v/>
      </c>
      <c r="I266" s="196"/>
      <c r="J266" s="196"/>
      <c r="K266" s="196"/>
      <c r="M266" s="142" t="str">
        <f t="shared" si="38"/>
        <v/>
      </c>
      <c r="N266" s="142" t="str">
        <f t="shared" si="39"/>
        <v/>
      </c>
    </row>
    <row r="267" spans="1:14">
      <c r="A267" s="146" t="str">
        <f>IF(C267="","",VLOOKUP('Opći dio'!$C$3,'Opći dio'!$L$6:$U$136,10,FALSE))</f>
        <v/>
      </c>
      <c r="B267" s="146" t="str">
        <f>IF(C267="","",VLOOKUP('Opći dio'!$C$3,'Opći dio'!$L$6:$U$136,9,FALSE))</f>
        <v/>
      </c>
      <c r="C267" s="152"/>
      <c r="D267" s="147" t="str">
        <f t="shared" si="35"/>
        <v/>
      </c>
      <c r="E267" s="152"/>
      <c r="F267" s="147" t="str">
        <f t="shared" si="36"/>
        <v/>
      </c>
      <c r="G267" s="199"/>
      <c r="H267" s="147" t="str">
        <f t="shared" si="37"/>
        <v/>
      </c>
      <c r="I267" s="196"/>
      <c r="J267" s="196"/>
      <c r="K267" s="196"/>
      <c r="M267" s="142" t="str">
        <f t="shared" si="38"/>
        <v/>
      </c>
      <c r="N267" s="142" t="str">
        <f t="shared" si="39"/>
        <v/>
      </c>
    </row>
    <row r="268" spans="1:14">
      <c r="A268" s="146" t="str">
        <f>IF(C268="","",VLOOKUP('Opći dio'!$C$3,'Opći dio'!$L$6:$U$136,10,FALSE))</f>
        <v/>
      </c>
      <c r="B268" s="146" t="str">
        <f>IF(C268="","",VLOOKUP('Opći dio'!$C$3,'Opći dio'!$L$6:$U$136,9,FALSE))</f>
        <v/>
      </c>
      <c r="C268" s="152"/>
      <c r="D268" s="147" t="str">
        <f t="shared" si="35"/>
        <v/>
      </c>
      <c r="E268" s="152"/>
      <c r="F268" s="147" t="str">
        <f t="shared" si="36"/>
        <v/>
      </c>
      <c r="G268" s="199"/>
      <c r="H268" s="147" t="str">
        <f t="shared" si="37"/>
        <v/>
      </c>
      <c r="I268" s="196"/>
      <c r="J268" s="196"/>
      <c r="K268" s="196"/>
      <c r="M268" s="142" t="str">
        <f t="shared" si="38"/>
        <v/>
      </c>
      <c r="N268" s="142" t="str">
        <f t="shared" si="39"/>
        <v/>
      </c>
    </row>
    <row r="269" spans="1:14">
      <c r="A269" s="146" t="str">
        <f>IF(C269="","",VLOOKUP('Opći dio'!$C$3,'Opći dio'!$L$6:$U$136,10,FALSE))</f>
        <v/>
      </c>
      <c r="B269" s="146" t="str">
        <f>IF(C269="","",VLOOKUP('Opći dio'!$C$3,'Opći dio'!$L$6:$U$136,9,FALSE))</f>
        <v/>
      </c>
      <c r="C269" s="152"/>
      <c r="D269" s="147" t="str">
        <f t="shared" si="35"/>
        <v/>
      </c>
      <c r="E269" s="152"/>
      <c r="F269" s="147" t="str">
        <f t="shared" si="36"/>
        <v/>
      </c>
      <c r="G269" s="199"/>
      <c r="H269" s="147" t="str">
        <f t="shared" si="37"/>
        <v/>
      </c>
      <c r="I269" s="196"/>
      <c r="J269" s="196"/>
      <c r="K269" s="196"/>
      <c r="M269" s="142" t="str">
        <f t="shared" si="38"/>
        <v/>
      </c>
      <c r="N269" s="142" t="str">
        <f t="shared" si="39"/>
        <v/>
      </c>
    </row>
    <row r="270" spans="1:14">
      <c r="A270" s="146" t="str">
        <f>IF(C270="","",VLOOKUP('Opći dio'!$C$3,'Opći dio'!$L$6:$U$136,10,FALSE))</f>
        <v/>
      </c>
      <c r="B270" s="146" t="str">
        <f>IF(C270="","",VLOOKUP('Opći dio'!$C$3,'Opći dio'!$L$6:$U$136,9,FALSE))</f>
        <v/>
      </c>
      <c r="C270" s="152"/>
      <c r="D270" s="147" t="str">
        <f t="shared" si="35"/>
        <v/>
      </c>
      <c r="E270" s="152"/>
      <c r="F270" s="147" t="str">
        <f t="shared" si="36"/>
        <v/>
      </c>
      <c r="G270" s="199"/>
      <c r="H270" s="147" t="str">
        <f t="shared" si="37"/>
        <v/>
      </c>
      <c r="I270" s="196"/>
      <c r="J270" s="196"/>
      <c r="K270" s="196"/>
      <c r="M270" s="142" t="str">
        <f t="shared" si="38"/>
        <v/>
      </c>
      <c r="N270" s="142" t="str">
        <f t="shared" si="39"/>
        <v/>
      </c>
    </row>
    <row r="271" spans="1:14">
      <c r="A271" s="146" t="str">
        <f>IF(C271="","",VLOOKUP('Opći dio'!$C$3,'Opći dio'!$L$6:$U$136,10,FALSE))</f>
        <v/>
      </c>
      <c r="B271" s="146" t="str">
        <f>IF(C271="","",VLOOKUP('Opći dio'!$C$3,'Opći dio'!$L$6:$U$136,9,FALSE))</f>
        <v/>
      </c>
      <c r="C271" s="152"/>
      <c r="D271" s="147" t="str">
        <f t="shared" si="35"/>
        <v/>
      </c>
      <c r="E271" s="152"/>
      <c r="F271" s="147" t="str">
        <f t="shared" si="36"/>
        <v/>
      </c>
      <c r="G271" s="199"/>
      <c r="H271" s="147" t="str">
        <f t="shared" si="37"/>
        <v/>
      </c>
      <c r="I271" s="196"/>
      <c r="J271" s="196"/>
      <c r="K271" s="196"/>
      <c r="M271" s="142" t="str">
        <f t="shared" si="38"/>
        <v/>
      </c>
      <c r="N271" s="142" t="str">
        <f t="shared" si="39"/>
        <v/>
      </c>
    </row>
    <row r="272" spans="1:14">
      <c r="A272" s="146" t="str">
        <f>IF(C272="","",VLOOKUP('Opći dio'!$C$3,'Opći dio'!$L$6:$U$136,10,FALSE))</f>
        <v/>
      </c>
      <c r="B272" s="146" t="str">
        <f>IF(C272="","",VLOOKUP('Opći dio'!$C$3,'Opći dio'!$L$6:$U$136,9,FALSE))</f>
        <v/>
      </c>
      <c r="C272" s="152"/>
      <c r="D272" s="147" t="str">
        <f t="shared" si="35"/>
        <v/>
      </c>
      <c r="E272" s="152"/>
      <c r="F272" s="147" t="str">
        <f t="shared" si="36"/>
        <v/>
      </c>
      <c r="G272" s="199"/>
      <c r="H272" s="147" t="str">
        <f t="shared" si="37"/>
        <v/>
      </c>
      <c r="I272" s="196"/>
      <c r="J272" s="196"/>
      <c r="K272" s="196"/>
      <c r="M272" s="142" t="str">
        <f t="shared" si="38"/>
        <v/>
      </c>
      <c r="N272" s="142" t="str">
        <f t="shared" si="39"/>
        <v/>
      </c>
    </row>
    <row r="273" spans="1:14">
      <c r="A273" s="146" t="str">
        <f>IF(C273="","",VLOOKUP('Opći dio'!$C$3,'Opći dio'!$L$6:$U$136,10,FALSE))</f>
        <v/>
      </c>
      <c r="B273" s="146" t="str">
        <f>IF(C273="","",VLOOKUP('Opći dio'!$C$3,'Opći dio'!$L$6:$U$136,9,FALSE))</f>
        <v/>
      </c>
      <c r="C273" s="152"/>
      <c r="D273" s="147" t="str">
        <f t="shared" si="35"/>
        <v/>
      </c>
      <c r="E273" s="152"/>
      <c r="F273" s="147" t="str">
        <f t="shared" si="36"/>
        <v/>
      </c>
      <c r="G273" s="199"/>
      <c r="H273" s="147" t="str">
        <f t="shared" si="37"/>
        <v/>
      </c>
      <c r="I273" s="196"/>
      <c r="J273" s="196"/>
      <c r="K273" s="196"/>
      <c r="M273" s="142" t="str">
        <f t="shared" si="38"/>
        <v/>
      </c>
      <c r="N273" s="142" t="str">
        <f t="shared" si="39"/>
        <v/>
      </c>
    </row>
    <row r="274" spans="1:14">
      <c r="A274" s="146" t="str">
        <f>IF(C274="","",VLOOKUP('Opći dio'!$C$3,'Opći dio'!$L$6:$U$136,10,FALSE))</f>
        <v/>
      </c>
      <c r="B274" s="146" t="str">
        <f>IF(C274="","",VLOOKUP('Opći dio'!$C$3,'Opći dio'!$L$6:$U$136,9,FALSE))</f>
        <v/>
      </c>
      <c r="C274" s="152"/>
      <c r="D274" s="147" t="str">
        <f t="shared" si="35"/>
        <v/>
      </c>
      <c r="E274" s="152"/>
      <c r="F274" s="147" t="str">
        <f t="shared" si="36"/>
        <v/>
      </c>
      <c r="G274" s="199"/>
      <c r="H274" s="147" t="str">
        <f t="shared" si="37"/>
        <v/>
      </c>
      <c r="I274" s="196"/>
      <c r="J274" s="196"/>
      <c r="K274" s="196"/>
      <c r="M274" s="142" t="str">
        <f t="shared" si="38"/>
        <v/>
      </c>
      <c r="N274" s="142" t="str">
        <f t="shared" si="39"/>
        <v/>
      </c>
    </row>
    <row r="275" spans="1:14">
      <c r="A275" s="146" t="str">
        <f>IF(C275="","",VLOOKUP('Opći dio'!$C$3,'Opći dio'!$L$6:$U$136,10,FALSE))</f>
        <v/>
      </c>
      <c r="B275" s="146" t="str">
        <f>IF(C275="","",VLOOKUP('Opći dio'!$C$3,'Opći dio'!$L$6:$U$136,9,FALSE))</f>
        <v/>
      </c>
      <c r="C275" s="152"/>
      <c r="D275" s="147" t="str">
        <f t="shared" si="35"/>
        <v/>
      </c>
      <c r="E275" s="152"/>
      <c r="F275" s="147" t="str">
        <f t="shared" si="36"/>
        <v/>
      </c>
      <c r="G275" s="199"/>
      <c r="H275" s="147" t="str">
        <f t="shared" si="37"/>
        <v/>
      </c>
      <c r="I275" s="196"/>
      <c r="J275" s="196"/>
      <c r="K275" s="196"/>
      <c r="M275" s="142" t="str">
        <f t="shared" si="38"/>
        <v/>
      </c>
      <c r="N275" s="142" t="str">
        <f t="shared" si="39"/>
        <v/>
      </c>
    </row>
    <row r="276" spans="1:14">
      <c r="A276" s="146" t="str">
        <f>IF(C276="","",VLOOKUP('Opći dio'!$C$3,'Opći dio'!$L$6:$U$136,10,FALSE))</f>
        <v/>
      </c>
      <c r="B276" s="146" t="str">
        <f>IF(C276="","",VLOOKUP('Opći dio'!$C$3,'Opći dio'!$L$6:$U$136,9,FALSE))</f>
        <v/>
      </c>
      <c r="C276" s="152"/>
      <c r="D276" s="147" t="str">
        <f t="shared" si="35"/>
        <v/>
      </c>
      <c r="E276" s="152"/>
      <c r="F276" s="147" t="str">
        <f t="shared" si="36"/>
        <v/>
      </c>
      <c r="G276" s="199"/>
      <c r="H276" s="147" t="str">
        <f t="shared" si="37"/>
        <v/>
      </c>
      <c r="I276" s="196"/>
      <c r="J276" s="196"/>
      <c r="K276" s="196"/>
      <c r="M276" s="142" t="str">
        <f t="shared" si="38"/>
        <v/>
      </c>
      <c r="N276" s="142" t="str">
        <f t="shared" si="39"/>
        <v/>
      </c>
    </row>
    <row r="277" spans="1:14">
      <c r="A277" s="146" t="str">
        <f>IF(C277="","",VLOOKUP('Opći dio'!$C$3,'Opći dio'!$L$6:$U$136,10,FALSE))</f>
        <v/>
      </c>
      <c r="B277" s="146" t="str">
        <f>IF(C277="","",VLOOKUP('Opći dio'!$C$3,'Opći dio'!$L$6:$U$136,9,FALSE))</f>
        <v/>
      </c>
      <c r="C277" s="152"/>
      <c r="D277" s="147" t="str">
        <f t="shared" si="35"/>
        <v/>
      </c>
      <c r="E277" s="152"/>
      <c r="F277" s="147" t="str">
        <f t="shared" si="36"/>
        <v/>
      </c>
      <c r="G277" s="199"/>
      <c r="H277" s="147" t="str">
        <f t="shared" si="37"/>
        <v/>
      </c>
      <c r="I277" s="196"/>
      <c r="J277" s="196"/>
      <c r="K277" s="196"/>
      <c r="M277" s="142" t="str">
        <f t="shared" si="38"/>
        <v/>
      </c>
      <c r="N277" s="142" t="str">
        <f t="shared" si="39"/>
        <v/>
      </c>
    </row>
    <row r="278" spans="1:14">
      <c r="A278" s="146" t="str">
        <f>IF(C278="","",VLOOKUP('Opći dio'!$C$3,'Opći dio'!$L$6:$U$136,10,FALSE))</f>
        <v/>
      </c>
      <c r="B278" s="146" t="str">
        <f>IF(C278="","",VLOOKUP('Opći dio'!$C$3,'Opći dio'!$L$6:$U$136,9,FALSE))</f>
        <v/>
      </c>
      <c r="C278" s="152"/>
      <c r="D278" s="147" t="str">
        <f t="shared" si="35"/>
        <v/>
      </c>
      <c r="E278" s="152"/>
      <c r="F278" s="147" t="str">
        <f t="shared" si="36"/>
        <v/>
      </c>
      <c r="G278" s="199"/>
      <c r="H278" s="147" t="str">
        <f t="shared" si="37"/>
        <v/>
      </c>
      <c r="I278" s="196"/>
      <c r="J278" s="196"/>
      <c r="K278" s="196"/>
      <c r="M278" s="142" t="str">
        <f t="shared" si="38"/>
        <v/>
      </c>
      <c r="N278" s="142" t="str">
        <f t="shared" si="39"/>
        <v/>
      </c>
    </row>
    <row r="279" spans="1:14">
      <c r="A279" s="146" t="str">
        <f>IF(C279="","",VLOOKUP('Opći dio'!$C$3,'Opći dio'!$L$6:$U$136,10,FALSE))</f>
        <v/>
      </c>
      <c r="B279" s="146" t="str">
        <f>IF(C279="","",VLOOKUP('Opći dio'!$C$3,'Opći dio'!$L$6:$U$136,9,FALSE))</f>
        <v/>
      </c>
      <c r="C279" s="152"/>
      <c r="D279" s="147" t="str">
        <f t="shared" si="35"/>
        <v/>
      </c>
      <c r="E279" s="152"/>
      <c r="F279" s="147" t="str">
        <f t="shared" si="36"/>
        <v/>
      </c>
      <c r="G279" s="199"/>
      <c r="H279" s="147" t="str">
        <f t="shared" si="37"/>
        <v/>
      </c>
      <c r="I279" s="196"/>
      <c r="J279" s="196"/>
      <c r="K279" s="196"/>
      <c r="M279" s="142" t="str">
        <f t="shared" si="38"/>
        <v/>
      </c>
      <c r="N279" s="142" t="str">
        <f t="shared" si="39"/>
        <v/>
      </c>
    </row>
    <row r="280" spans="1:14">
      <c r="A280" s="146" t="str">
        <f>IF(C280="","",VLOOKUP('Opći dio'!$C$3,'Opći dio'!$L$6:$U$136,10,FALSE))</f>
        <v/>
      </c>
      <c r="B280" s="146" t="str">
        <f>IF(C280="","",VLOOKUP('Opći dio'!$C$3,'Opći dio'!$L$6:$U$136,9,FALSE))</f>
        <v/>
      </c>
      <c r="C280" s="152"/>
      <c r="D280" s="147" t="str">
        <f t="shared" si="35"/>
        <v/>
      </c>
      <c r="E280" s="152"/>
      <c r="F280" s="147" t="str">
        <f t="shared" si="36"/>
        <v/>
      </c>
      <c r="G280" s="199"/>
      <c r="H280" s="147" t="str">
        <f t="shared" si="37"/>
        <v/>
      </c>
      <c r="I280" s="196"/>
      <c r="J280" s="196"/>
      <c r="K280" s="196"/>
      <c r="M280" s="142" t="str">
        <f t="shared" si="38"/>
        <v/>
      </c>
      <c r="N280" s="142" t="str">
        <f t="shared" si="39"/>
        <v/>
      </c>
    </row>
    <row r="281" spans="1:14">
      <c r="A281" s="146" t="str">
        <f>IF(C281="","",VLOOKUP('Opći dio'!$C$3,'Opći dio'!$L$6:$U$136,10,FALSE))</f>
        <v/>
      </c>
      <c r="B281" s="146" t="str">
        <f>IF(C281="","",VLOOKUP('Opći dio'!$C$3,'Opći dio'!$L$6:$U$136,9,FALSE))</f>
        <v/>
      </c>
      <c r="C281" s="152"/>
      <c r="D281" s="147" t="str">
        <f t="shared" si="35"/>
        <v/>
      </c>
      <c r="E281" s="152"/>
      <c r="F281" s="147" t="str">
        <f t="shared" si="36"/>
        <v/>
      </c>
      <c r="G281" s="199"/>
      <c r="H281" s="147" t="str">
        <f t="shared" si="37"/>
        <v/>
      </c>
      <c r="I281" s="196"/>
      <c r="J281" s="196"/>
      <c r="K281" s="196"/>
      <c r="M281" s="142" t="str">
        <f t="shared" si="38"/>
        <v/>
      </c>
      <c r="N281" s="142" t="str">
        <f t="shared" si="39"/>
        <v/>
      </c>
    </row>
    <row r="282" spans="1:14">
      <c r="A282" s="146" t="str">
        <f>IF(C282="","",VLOOKUP('Opći dio'!$C$3,'Opći dio'!$L$6:$U$136,10,FALSE))</f>
        <v/>
      </c>
      <c r="B282" s="146" t="str">
        <f>IF(C282="","",VLOOKUP('Opći dio'!$C$3,'Opći dio'!$L$6:$U$136,9,FALSE))</f>
        <v/>
      </c>
      <c r="C282" s="152"/>
      <c r="D282" s="147" t="str">
        <f t="shared" si="35"/>
        <v/>
      </c>
      <c r="E282" s="152"/>
      <c r="F282" s="147" t="str">
        <f t="shared" si="36"/>
        <v/>
      </c>
      <c r="G282" s="199"/>
      <c r="H282" s="147" t="str">
        <f t="shared" si="37"/>
        <v/>
      </c>
      <c r="I282" s="196"/>
      <c r="J282" s="196"/>
      <c r="K282" s="196"/>
      <c r="M282" s="142" t="str">
        <f t="shared" si="38"/>
        <v/>
      </c>
      <c r="N282" s="142" t="str">
        <f t="shared" si="39"/>
        <v/>
      </c>
    </row>
    <row r="283" spans="1:14">
      <c r="A283" s="146" t="str">
        <f>IF(C283="","",VLOOKUP('Opći dio'!$C$3,'Opći dio'!$L$6:$U$136,10,FALSE))</f>
        <v/>
      </c>
      <c r="B283" s="146" t="str">
        <f>IF(C283="","",VLOOKUP('Opći dio'!$C$3,'Opći dio'!$L$6:$U$136,9,FALSE))</f>
        <v/>
      </c>
      <c r="C283" s="152"/>
      <c r="D283" s="147" t="str">
        <f t="shared" si="35"/>
        <v/>
      </c>
      <c r="E283" s="152"/>
      <c r="F283" s="147" t="str">
        <f t="shared" si="36"/>
        <v/>
      </c>
      <c r="G283" s="199"/>
      <c r="H283" s="147" t="str">
        <f t="shared" si="37"/>
        <v/>
      </c>
      <c r="I283" s="196"/>
      <c r="J283" s="196"/>
      <c r="K283" s="196"/>
      <c r="M283" s="142" t="str">
        <f t="shared" si="38"/>
        <v/>
      </c>
      <c r="N283" s="142" t="str">
        <f t="shared" si="39"/>
        <v/>
      </c>
    </row>
    <row r="284" spans="1:14">
      <c r="A284" s="146" t="str">
        <f>IF(C284="","",VLOOKUP('Opći dio'!$C$3,'Opći dio'!$L$6:$U$136,10,FALSE))</f>
        <v/>
      </c>
      <c r="B284" s="146" t="str">
        <f>IF(C284="","",VLOOKUP('Opći dio'!$C$3,'Opći dio'!$L$6:$U$136,9,FALSE))</f>
        <v/>
      </c>
      <c r="C284" s="152"/>
      <c r="D284" s="147" t="str">
        <f t="shared" si="35"/>
        <v/>
      </c>
      <c r="E284" s="152"/>
      <c r="F284" s="147" t="str">
        <f t="shared" si="36"/>
        <v/>
      </c>
      <c r="G284" s="199"/>
      <c r="H284" s="147" t="str">
        <f t="shared" si="37"/>
        <v/>
      </c>
      <c r="I284" s="196"/>
      <c r="J284" s="196"/>
      <c r="K284" s="196"/>
      <c r="M284" s="142" t="str">
        <f t="shared" si="38"/>
        <v/>
      </c>
      <c r="N284" s="142" t="str">
        <f t="shared" si="39"/>
        <v/>
      </c>
    </row>
    <row r="285" spans="1:14">
      <c r="A285" s="146" t="str">
        <f>IF(C285="","",VLOOKUP('Opći dio'!$C$3,'Opći dio'!$L$6:$U$136,10,FALSE))</f>
        <v/>
      </c>
      <c r="B285" s="146" t="str">
        <f>IF(C285="","",VLOOKUP('Opći dio'!$C$3,'Opći dio'!$L$6:$U$136,9,FALSE))</f>
        <v/>
      </c>
      <c r="C285" s="152"/>
      <c r="D285" s="147" t="str">
        <f t="shared" si="35"/>
        <v/>
      </c>
      <c r="E285" s="152"/>
      <c r="F285" s="147" t="str">
        <f t="shared" si="36"/>
        <v/>
      </c>
      <c r="G285" s="199"/>
      <c r="H285" s="147" t="str">
        <f t="shared" si="37"/>
        <v/>
      </c>
      <c r="I285" s="196"/>
      <c r="J285" s="196"/>
      <c r="K285" s="196"/>
      <c r="M285" s="142" t="str">
        <f t="shared" si="38"/>
        <v/>
      </c>
      <c r="N285" s="142" t="str">
        <f t="shared" si="39"/>
        <v/>
      </c>
    </row>
    <row r="286" spans="1:14">
      <c r="A286" s="146" t="str">
        <f>IF(C286="","",VLOOKUP('Opći dio'!$C$3,'Opći dio'!$L$6:$U$136,10,FALSE))</f>
        <v/>
      </c>
      <c r="B286" s="146" t="str">
        <f>IF(C286="","",VLOOKUP('Opći dio'!$C$3,'Opći dio'!$L$6:$U$136,9,FALSE))</f>
        <v/>
      </c>
      <c r="C286" s="152"/>
      <c r="D286" s="147" t="str">
        <f t="shared" si="35"/>
        <v/>
      </c>
      <c r="E286" s="152"/>
      <c r="F286" s="147" t="str">
        <f t="shared" si="36"/>
        <v/>
      </c>
      <c r="G286" s="199"/>
      <c r="H286" s="147" t="str">
        <f t="shared" si="37"/>
        <v/>
      </c>
      <c r="I286" s="196"/>
      <c r="J286" s="196"/>
      <c r="K286" s="196"/>
      <c r="M286" s="142" t="str">
        <f t="shared" si="38"/>
        <v/>
      </c>
      <c r="N286" s="142" t="str">
        <f t="shared" si="39"/>
        <v/>
      </c>
    </row>
    <row r="287" spans="1:14">
      <c r="A287" s="146" t="str">
        <f>IF(C287="","",VLOOKUP('Opći dio'!$C$3,'Opći dio'!$L$6:$U$136,10,FALSE))</f>
        <v/>
      </c>
      <c r="B287" s="146" t="str">
        <f>IF(C287="","",VLOOKUP('Opći dio'!$C$3,'Opći dio'!$L$6:$U$136,9,FALSE))</f>
        <v/>
      </c>
      <c r="C287" s="152"/>
      <c r="D287" s="147" t="str">
        <f t="shared" si="35"/>
        <v/>
      </c>
      <c r="E287" s="152"/>
      <c r="F287" s="147" t="str">
        <f t="shared" si="36"/>
        <v/>
      </c>
      <c r="G287" s="199"/>
      <c r="H287" s="147" t="str">
        <f t="shared" si="37"/>
        <v/>
      </c>
      <c r="I287" s="196"/>
      <c r="J287" s="196"/>
      <c r="K287" s="196"/>
      <c r="M287" s="142" t="str">
        <f t="shared" si="38"/>
        <v/>
      </c>
      <c r="N287" s="142" t="str">
        <f t="shared" si="39"/>
        <v/>
      </c>
    </row>
    <row r="288" spans="1:14">
      <c r="A288" s="146" t="str">
        <f>IF(C288="","",VLOOKUP('Opći dio'!$C$3,'Opći dio'!$L$6:$U$136,10,FALSE))</f>
        <v/>
      </c>
      <c r="B288" s="146" t="str">
        <f>IF(C288="","",VLOOKUP('Opći dio'!$C$3,'Opći dio'!$L$6:$U$136,9,FALSE))</f>
        <v/>
      </c>
      <c r="C288" s="152"/>
      <c r="D288" s="147" t="str">
        <f t="shared" si="35"/>
        <v/>
      </c>
      <c r="E288" s="152"/>
      <c r="F288" s="147" t="str">
        <f t="shared" si="36"/>
        <v/>
      </c>
      <c r="G288" s="199"/>
      <c r="H288" s="147" t="str">
        <f t="shared" si="37"/>
        <v/>
      </c>
      <c r="I288" s="196"/>
      <c r="J288" s="196"/>
      <c r="K288" s="196"/>
      <c r="M288" s="142" t="str">
        <f t="shared" si="38"/>
        <v/>
      </c>
      <c r="N288" s="142" t="str">
        <f t="shared" si="39"/>
        <v/>
      </c>
    </row>
    <row r="289" spans="1:14">
      <c r="A289" s="146" t="str">
        <f>IF(C289="","",VLOOKUP('Opći dio'!$C$3,'Opći dio'!$L$6:$U$136,10,FALSE))</f>
        <v/>
      </c>
      <c r="B289" s="146" t="str">
        <f>IF(C289="","",VLOOKUP('Opći dio'!$C$3,'Opći dio'!$L$6:$U$136,9,FALSE))</f>
        <v/>
      </c>
      <c r="C289" s="152"/>
      <c r="D289" s="147" t="str">
        <f t="shared" si="35"/>
        <v/>
      </c>
      <c r="E289" s="152"/>
      <c r="F289" s="147" t="str">
        <f t="shared" si="36"/>
        <v/>
      </c>
      <c r="G289" s="199"/>
      <c r="H289" s="147" t="str">
        <f t="shared" si="37"/>
        <v/>
      </c>
      <c r="I289" s="196"/>
      <c r="J289" s="196"/>
      <c r="K289" s="196"/>
      <c r="M289" s="142" t="str">
        <f t="shared" si="38"/>
        <v/>
      </c>
      <c r="N289" s="142" t="str">
        <f t="shared" si="39"/>
        <v/>
      </c>
    </row>
    <row r="290" spans="1:14">
      <c r="A290" s="146" t="str">
        <f>IF(C290="","",VLOOKUP('Opći dio'!$C$3,'Opći dio'!$L$6:$U$136,10,FALSE))</f>
        <v/>
      </c>
      <c r="B290" s="146" t="str">
        <f>IF(C290="","",VLOOKUP('Opći dio'!$C$3,'Opći dio'!$L$6:$U$136,9,FALSE))</f>
        <v/>
      </c>
      <c r="C290" s="152"/>
      <c r="D290" s="147" t="str">
        <f t="shared" si="35"/>
        <v/>
      </c>
      <c r="E290" s="152"/>
      <c r="F290" s="147" t="str">
        <f t="shared" si="36"/>
        <v/>
      </c>
      <c r="G290" s="199"/>
      <c r="H290" s="147" t="str">
        <f t="shared" si="37"/>
        <v/>
      </c>
      <c r="I290" s="196"/>
      <c r="J290" s="196"/>
      <c r="K290" s="196"/>
      <c r="M290" s="142" t="str">
        <f t="shared" si="38"/>
        <v/>
      </c>
      <c r="N290" s="142" t="str">
        <f t="shared" si="39"/>
        <v/>
      </c>
    </row>
    <row r="291" spans="1:14">
      <c r="A291" s="146" t="str">
        <f>IF(C291="","",VLOOKUP('Opći dio'!$C$3,'Opći dio'!$L$6:$U$136,10,FALSE))</f>
        <v/>
      </c>
      <c r="B291" s="146" t="str">
        <f>IF(C291="","",VLOOKUP('Opći dio'!$C$3,'Opći dio'!$L$6:$U$136,9,FALSE))</f>
        <v/>
      </c>
      <c r="C291" s="152"/>
      <c r="D291" s="147" t="str">
        <f t="shared" si="35"/>
        <v/>
      </c>
      <c r="E291" s="152"/>
      <c r="F291" s="147" t="str">
        <f t="shared" si="36"/>
        <v/>
      </c>
      <c r="G291" s="199"/>
      <c r="H291" s="147" t="str">
        <f t="shared" si="37"/>
        <v/>
      </c>
      <c r="I291" s="196"/>
      <c r="J291" s="196"/>
      <c r="K291" s="196"/>
      <c r="M291" s="142" t="str">
        <f t="shared" si="38"/>
        <v/>
      </c>
      <c r="N291" s="142" t="str">
        <f t="shared" si="39"/>
        <v/>
      </c>
    </row>
    <row r="292" spans="1:14">
      <c r="A292" s="146" t="str">
        <f>IF(C292="","",VLOOKUP('Opći dio'!$C$3,'Opći dio'!$L$6:$U$136,10,FALSE))</f>
        <v/>
      </c>
      <c r="B292" s="146" t="str">
        <f>IF(C292="","",VLOOKUP('Opći dio'!$C$3,'Opći dio'!$L$6:$U$136,9,FALSE))</f>
        <v/>
      </c>
      <c r="C292" s="152"/>
      <c r="D292" s="147" t="str">
        <f t="shared" si="35"/>
        <v/>
      </c>
      <c r="E292" s="152"/>
      <c r="F292" s="147" t="str">
        <f t="shared" si="36"/>
        <v/>
      </c>
      <c r="G292" s="199"/>
      <c r="H292" s="147" t="str">
        <f t="shared" si="37"/>
        <v/>
      </c>
      <c r="I292" s="196"/>
      <c r="J292" s="196"/>
      <c r="K292" s="196"/>
      <c r="M292" s="142" t="str">
        <f t="shared" si="38"/>
        <v/>
      </c>
      <c r="N292" s="142" t="str">
        <f t="shared" si="39"/>
        <v/>
      </c>
    </row>
    <row r="293" spans="1:14">
      <c r="A293" s="146" t="str">
        <f>IF(C293="","",VLOOKUP('Opći dio'!$C$3,'Opći dio'!$L$6:$U$136,10,FALSE))</f>
        <v/>
      </c>
      <c r="B293" s="146" t="str">
        <f>IF(C293="","",VLOOKUP('Opći dio'!$C$3,'Opći dio'!$L$6:$U$136,9,FALSE))</f>
        <v/>
      </c>
      <c r="C293" s="152"/>
      <c r="D293" s="147" t="str">
        <f t="shared" si="35"/>
        <v/>
      </c>
      <c r="E293" s="152"/>
      <c r="F293" s="147" t="str">
        <f t="shared" si="36"/>
        <v/>
      </c>
      <c r="G293" s="199"/>
      <c r="H293" s="147" t="str">
        <f t="shared" si="37"/>
        <v/>
      </c>
      <c r="I293" s="196"/>
      <c r="J293" s="196"/>
      <c r="K293" s="196"/>
      <c r="M293" s="142" t="str">
        <f t="shared" si="38"/>
        <v/>
      </c>
      <c r="N293" s="142" t="str">
        <f t="shared" si="39"/>
        <v/>
      </c>
    </row>
    <row r="294" spans="1:14">
      <c r="A294" s="146" t="str">
        <f>IF(C294="","",VLOOKUP('Opći dio'!$C$3,'Opći dio'!$L$6:$U$136,10,FALSE))</f>
        <v/>
      </c>
      <c r="B294" s="146" t="str">
        <f>IF(C294="","",VLOOKUP('Opći dio'!$C$3,'Opći dio'!$L$6:$U$136,9,FALSE))</f>
        <v/>
      </c>
      <c r="C294" s="152"/>
      <c r="D294" s="147" t="str">
        <f t="shared" si="35"/>
        <v/>
      </c>
      <c r="E294" s="152"/>
      <c r="F294" s="147" t="str">
        <f t="shared" si="36"/>
        <v/>
      </c>
      <c r="G294" s="199"/>
      <c r="H294" s="147" t="str">
        <f t="shared" si="37"/>
        <v/>
      </c>
      <c r="I294" s="196"/>
      <c r="J294" s="196"/>
      <c r="K294" s="196"/>
      <c r="M294" s="142" t="str">
        <f t="shared" si="38"/>
        <v/>
      </c>
      <c r="N294" s="142" t="str">
        <f t="shared" si="39"/>
        <v/>
      </c>
    </row>
    <row r="295" spans="1:14">
      <c r="A295" s="146" t="str">
        <f>IF(C295="","",VLOOKUP('Opći dio'!$C$3,'Opći dio'!$L$6:$U$136,10,FALSE))</f>
        <v/>
      </c>
      <c r="B295" s="146" t="str">
        <f>IF(C295="","",VLOOKUP('Opći dio'!$C$3,'Opći dio'!$L$6:$U$136,9,FALSE))</f>
        <v/>
      </c>
      <c r="C295" s="152"/>
      <c r="D295" s="147" t="str">
        <f t="shared" si="35"/>
        <v/>
      </c>
      <c r="E295" s="152"/>
      <c r="F295" s="147" t="str">
        <f t="shared" si="36"/>
        <v/>
      </c>
      <c r="G295" s="199"/>
      <c r="H295" s="147" t="str">
        <f t="shared" si="37"/>
        <v/>
      </c>
      <c r="I295" s="196"/>
      <c r="J295" s="196"/>
      <c r="K295" s="196"/>
      <c r="M295" s="142" t="str">
        <f t="shared" si="38"/>
        <v/>
      </c>
      <c r="N295" s="142" t="str">
        <f t="shared" si="39"/>
        <v/>
      </c>
    </row>
    <row r="296" spans="1:14">
      <c r="A296" s="146" t="str">
        <f>IF(C296="","",VLOOKUP('Opći dio'!$C$3,'Opći dio'!$L$6:$U$136,10,FALSE))</f>
        <v/>
      </c>
      <c r="B296" s="146" t="str">
        <f>IF(C296="","",VLOOKUP('Opći dio'!$C$3,'Opći dio'!$L$6:$U$136,9,FALSE))</f>
        <v/>
      </c>
      <c r="C296" s="152"/>
      <c r="D296" s="147" t="str">
        <f t="shared" si="35"/>
        <v/>
      </c>
      <c r="E296" s="152"/>
      <c r="F296" s="147" t="str">
        <f t="shared" si="36"/>
        <v/>
      </c>
      <c r="G296" s="199"/>
      <c r="H296" s="147" t="str">
        <f t="shared" si="37"/>
        <v/>
      </c>
      <c r="I296" s="196"/>
      <c r="J296" s="196"/>
      <c r="K296" s="196"/>
      <c r="M296" s="142" t="str">
        <f t="shared" si="38"/>
        <v/>
      </c>
      <c r="N296" s="142" t="str">
        <f t="shared" si="39"/>
        <v/>
      </c>
    </row>
    <row r="297" spans="1:14">
      <c r="A297" s="146" t="str">
        <f>IF(C297="","",VLOOKUP('Opći dio'!$C$3,'Opći dio'!$L$6:$U$136,10,FALSE))</f>
        <v/>
      </c>
      <c r="B297" s="146" t="str">
        <f>IF(C297="","",VLOOKUP('Opći dio'!$C$3,'Opći dio'!$L$6:$U$136,9,FALSE))</f>
        <v/>
      </c>
      <c r="C297" s="152"/>
      <c r="D297" s="147" t="str">
        <f t="shared" si="35"/>
        <v/>
      </c>
      <c r="E297" s="152"/>
      <c r="F297" s="147" t="str">
        <f t="shared" si="36"/>
        <v/>
      </c>
      <c r="G297" s="199"/>
      <c r="H297" s="147" t="str">
        <f t="shared" si="37"/>
        <v/>
      </c>
      <c r="I297" s="196"/>
      <c r="J297" s="196"/>
      <c r="K297" s="196"/>
      <c r="M297" s="142" t="str">
        <f t="shared" si="38"/>
        <v/>
      </c>
      <c r="N297" s="142" t="str">
        <f t="shared" si="39"/>
        <v/>
      </c>
    </row>
    <row r="298" spans="1:14">
      <c r="A298" s="146" t="str">
        <f>IF(C298="","",VLOOKUP('Opći dio'!$C$3,'Opći dio'!$L$6:$U$136,10,FALSE))</f>
        <v/>
      </c>
      <c r="B298" s="146" t="str">
        <f>IF(C298="","",VLOOKUP('Opći dio'!$C$3,'Opći dio'!$L$6:$U$136,9,FALSE))</f>
        <v/>
      </c>
      <c r="C298" s="152"/>
      <c r="D298" s="147" t="str">
        <f t="shared" si="35"/>
        <v/>
      </c>
      <c r="E298" s="152"/>
      <c r="F298" s="147" t="str">
        <f t="shared" si="36"/>
        <v/>
      </c>
      <c r="G298" s="199"/>
      <c r="H298" s="147" t="str">
        <f t="shared" si="37"/>
        <v/>
      </c>
      <c r="I298" s="196"/>
      <c r="J298" s="196"/>
      <c r="K298" s="196"/>
      <c r="M298" s="142" t="str">
        <f t="shared" si="38"/>
        <v/>
      </c>
      <c r="N298" s="142" t="str">
        <f t="shared" si="39"/>
        <v/>
      </c>
    </row>
    <row r="299" spans="1:14">
      <c r="A299" s="146" t="str">
        <f>IF(C299="","",VLOOKUP('Opći dio'!$C$3,'Opći dio'!$L$6:$U$136,10,FALSE))</f>
        <v/>
      </c>
      <c r="B299" s="146" t="str">
        <f>IF(C299="","",VLOOKUP('Opći dio'!$C$3,'Opći dio'!$L$6:$U$136,9,FALSE))</f>
        <v/>
      </c>
      <c r="C299" s="152"/>
      <c r="D299" s="147" t="str">
        <f t="shared" si="35"/>
        <v/>
      </c>
      <c r="E299" s="152"/>
      <c r="F299" s="147" t="str">
        <f t="shared" si="36"/>
        <v/>
      </c>
      <c r="G299" s="199"/>
      <c r="H299" s="147" t="str">
        <f t="shared" si="37"/>
        <v/>
      </c>
      <c r="I299" s="196"/>
      <c r="J299" s="196"/>
      <c r="K299" s="196"/>
      <c r="M299" s="142" t="str">
        <f t="shared" si="38"/>
        <v/>
      </c>
      <c r="N299" s="142" t="str">
        <f t="shared" si="39"/>
        <v/>
      </c>
    </row>
    <row r="300" spans="1:14">
      <c r="A300" s="146" t="str">
        <f>IF(C300="","",VLOOKUP('Opći dio'!$C$3,'Opći dio'!$L$6:$U$136,10,FALSE))</f>
        <v/>
      </c>
      <c r="B300" s="146" t="str">
        <f>IF(C300="","",VLOOKUP('Opći dio'!$C$3,'Opći dio'!$L$6:$U$136,9,FALSE))</f>
        <v/>
      </c>
      <c r="C300" s="152"/>
      <c r="D300" s="147" t="str">
        <f t="shared" si="35"/>
        <v/>
      </c>
      <c r="E300" s="152"/>
      <c r="F300" s="147" t="str">
        <f t="shared" si="36"/>
        <v/>
      </c>
      <c r="G300" s="199"/>
      <c r="H300" s="147" t="str">
        <f t="shared" si="37"/>
        <v/>
      </c>
      <c r="I300" s="196"/>
      <c r="J300" s="196"/>
      <c r="K300" s="196"/>
      <c r="M300" s="142" t="str">
        <f t="shared" si="38"/>
        <v/>
      </c>
      <c r="N300" s="142" t="str">
        <f t="shared" si="39"/>
        <v/>
      </c>
    </row>
    <row r="301" spans="1:14">
      <c r="A301" s="146" t="str">
        <f>IF(C301="","",VLOOKUP('Opći dio'!$C$3,'Opći dio'!$L$6:$U$136,10,FALSE))</f>
        <v/>
      </c>
      <c r="B301" s="146" t="str">
        <f>IF(C301="","",VLOOKUP('Opći dio'!$C$3,'Opći dio'!$L$6:$U$136,9,FALSE))</f>
        <v/>
      </c>
      <c r="C301" s="152"/>
      <c r="D301" s="147" t="str">
        <f t="shared" si="35"/>
        <v/>
      </c>
      <c r="E301" s="152"/>
      <c r="F301" s="147" t="str">
        <f t="shared" si="36"/>
        <v/>
      </c>
      <c r="G301" s="199"/>
      <c r="H301" s="147" t="str">
        <f t="shared" si="37"/>
        <v/>
      </c>
      <c r="I301" s="196"/>
      <c r="J301" s="196"/>
      <c r="K301" s="196"/>
      <c r="M301" s="142" t="str">
        <f t="shared" si="38"/>
        <v/>
      </c>
      <c r="N301" s="142" t="str">
        <f t="shared" si="39"/>
        <v/>
      </c>
    </row>
    <row r="302" spans="1:14">
      <c r="A302" s="146" t="str">
        <f>IF(C302="","",VLOOKUP('Opći dio'!$C$3,'Opći dio'!$L$6:$U$136,10,FALSE))</f>
        <v/>
      </c>
      <c r="B302" s="146" t="str">
        <f>IF(C302="","",VLOOKUP('Opći dio'!$C$3,'Opći dio'!$L$6:$U$136,9,FALSE))</f>
        <v/>
      </c>
      <c r="C302" s="152"/>
      <c r="D302" s="147" t="str">
        <f t="shared" si="35"/>
        <v/>
      </c>
      <c r="E302" s="152"/>
      <c r="F302" s="147" t="str">
        <f t="shared" si="36"/>
        <v/>
      </c>
      <c r="G302" s="199"/>
      <c r="H302" s="147" t="str">
        <f t="shared" si="37"/>
        <v/>
      </c>
      <c r="I302" s="196"/>
      <c r="J302" s="196"/>
      <c r="K302" s="196"/>
      <c r="M302" s="142" t="str">
        <f t="shared" si="38"/>
        <v/>
      </c>
      <c r="N302" s="142" t="str">
        <f t="shared" si="39"/>
        <v/>
      </c>
    </row>
    <row r="303" spans="1:14">
      <c r="A303" s="146" t="str">
        <f>IF(C303="","",VLOOKUP('Opći dio'!$C$3,'Opći dio'!$L$6:$U$136,10,FALSE))</f>
        <v/>
      </c>
      <c r="B303" s="146" t="str">
        <f>IF(C303="","",VLOOKUP('Opći dio'!$C$3,'Opći dio'!$L$6:$U$136,9,FALSE))</f>
        <v/>
      </c>
      <c r="C303" s="152"/>
      <c r="D303" s="147" t="str">
        <f t="shared" si="35"/>
        <v/>
      </c>
      <c r="E303" s="152"/>
      <c r="F303" s="147" t="str">
        <f t="shared" si="36"/>
        <v/>
      </c>
      <c r="G303" s="199"/>
      <c r="H303" s="147" t="str">
        <f t="shared" si="37"/>
        <v/>
      </c>
      <c r="I303" s="196"/>
      <c r="J303" s="196"/>
      <c r="K303" s="196"/>
      <c r="M303" s="142" t="str">
        <f t="shared" si="38"/>
        <v/>
      </c>
      <c r="N303" s="142" t="str">
        <f t="shared" si="39"/>
        <v/>
      </c>
    </row>
    <row r="304" spans="1:14">
      <c r="A304" s="146" t="str">
        <f>IF(C304="","",VLOOKUP('Opći dio'!$C$3,'Opći dio'!$L$6:$U$136,10,FALSE))</f>
        <v/>
      </c>
      <c r="B304" s="146" t="str">
        <f>IF(C304="","",VLOOKUP('Opći dio'!$C$3,'Opći dio'!$L$6:$U$136,9,FALSE))</f>
        <v/>
      </c>
      <c r="C304" s="152"/>
      <c r="D304" s="147" t="str">
        <f t="shared" si="35"/>
        <v/>
      </c>
      <c r="E304" s="152"/>
      <c r="F304" s="147" t="str">
        <f t="shared" si="36"/>
        <v/>
      </c>
      <c r="G304" s="199"/>
      <c r="H304" s="147" t="str">
        <f t="shared" si="37"/>
        <v/>
      </c>
      <c r="I304" s="196"/>
      <c r="J304" s="196"/>
      <c r="K304" s="196"/>
      <c r="M304" s="142" t="str">
        <f t="shared" si="38"/>
        <v/>
      </c>
      <c r="N304" s="142" t="str">
        <f t="shared" si="39"/>
        <v/>
      </c>
    </row>
    <row r="305" spans="1:14">
      <c r="A305" s="146" t="str">
        <f>IF(C305="","",VLOOKUP('Opći dio'!$C$3,'Opći dio'!$L$6:$U$136,10,FALSE))</f>
        <v/>
      </c>
      <c r="B305" s="146" t="str">
        <f>IF(C305="","",VLOOKUP('Opći dio'!$C$3,'Opći dio'!$L$6:$U$136,9,FALSE))</f>
        <v/>
      </c>
      <c r="C305" s="152"/>
      <c r="D305" s="147" t="str">
        <f t="shared" si="35"/>
        <v/>
      </c>
      <c r="E305" s="152"/>
      <c r="F305" s="147" t="str">
        <f t="shared" si="36"/>
        <v/>
      </c>
      <c r="G305" s="199"/>
      <c r="H305" s="147" t="str">
        <f t="shared" si="37"/>
        <v/>
      </c>
      <c r="I305" s="196"/>
      <c r="J305" s="196"/>
      <c r="K305" s="196"/>
      <c r="M305" s="142" t="str">
        <f t="shared" si="38"/>
        <v/>
      </c>
      <c r="N305" s="142" t="str">
        <f t="shared" si="39"/>
        <v/>
      </c>
    </row>
    <row r="306" spans="1:14">
      <c r="A306" s="146" t="str">
        <f>IF(C306="","",VLOOKUP('Opći dio'!$C$3,'Opći dio'!$L$6:$U$136,10,FALSE))</f>
        <v/>
      </c>
      <c r="B306" s="146" t="str">
        <f>IF(C306="","",VLOOKUP('Opći dio'!$C$3,'Opći dio'!$L$6:$U$136,9,FALSE))</f>
        <v/>
      </c>
      <c r="C306" s="152"/>
      <c r="D306" s="147" t="str">
        <f t="shared" si="35"/>
        <v/>
      </c>
      <c r="E306" s="152"/>
      <c r="F306" s="147" t="str">
        <f t="shared" si="36"/>
        <v/>
      </c>
      <c r="G306" s="199"/>
      <c r="H306" s="147" t="str">
        <f t="shared" si="37"/>
        <v/>
      </c>
      <c r="I306" s="196"/>
      <c r="J306" s="196"/>
      <c r="K306" s="196"/>
      <c r="M306" s="142" t="str">
        <f t="shared" si="38"/>
        <v/>
      </c>
      <c r="N306" s="142" t="str">
        <f t="shared" si="39"/>
        <v/>
      </c>
    </row>
    <row r="307" spans="1:14">
      <c r="A307" s="146" t="str">
        <f>IF(C307="","",VLOOKUP('Opći dio'!$C$3,'Opći dio'!$L$6:$U$136,10,FALSE))</f>
        <v/>
      </c>
      <c r="B307" s="146" t="str">
        <f>IF(C307="","",VLOOKUP('Opći dio'!$C$3,'Opći dio'!$L$6:$U$136,9,FALSE))</f>
        <v/>
      </c>
      <c r="C307" s="152"/>
      <c r="D307" s="147" t="str">
        <f t="shared" si="35"/>
        <v/>
      </c>
      <c r="E307" s="152"/>
      <c r="F307" s="147" t="str">
        <f t="shared" si="36"/>
        <v/>
      </c>
      <c r="G307" s="199"/>
      <c r="H307" s="147" t="str">
        <f t="shared" si="37"/>
        <v/>
      </c>
      <c r="I307" s="196"/>
      <c r="J307" s="196"/>
      <c r="K307" s="196"/>
      <c r="M307" s="142" t="str">
        <f t="shared" si="38"/>
        <v/>
      </c>
      <c r="N307" s="142" t="str">
        <f t="shared" si="39"/>
        <v/>
      </c>
    </row>
    <row r="308" spans="1:14">
      <c r="A308" s="146" t="str">
        <f>IF(C308="","",VLOOKUP('Opći dio'!$C$3,'Opći dio'!$L$6:$U$136,10,FALSE))</f>
        <v/>
      </c>
      <c r="B308" s="146" t="str">
        <f>IF(C308="","",VLOOKUP('Opći dio'!$C$3,'Opći dio'!$L$6:$U$136,9,FALSE))</f>
        <v/>
      </c>
      <c r="C308" s="152"/>
      <c r="D308" s="147" t="str">
        <f t="shared" si="35"/>
        <v/>
      </c>
      <c r="E308" s="152"/>
      <c r="F308" s="147" t="str">
        <f t="shared" si="36"/>
        <v/>
      </c>
      <c r="G308" s="199"/>
      <c r="H308" s="147" t="str">
        <f t="shared" si="37"/>
        <v/>
      </c>
      <c r="I308" s="196"/>
      <c r="J308" s="196"/>
      <c r="K308" s="196"/>
      <c r="M308" s="142" t="str">
        <f t="shared" si="38"/>
        <v/>
      </c>
      <c r="N308" s="142" t="str">
        <f t="shared" si="39"/>
        <v/>
      </c>
    </row>
    <row r="309" spans="1:14">
      <c r="A309" s="146" t="str">
        <f>IF(C309="","",VLOOKUP('Opći dio'!$C$3,'Opći dio'!$L$6:$U$136,10,FALSE))</f>
        <v/>
      </c>
      <c r="B309" s="146" t="str">
        <f>IF(C309="","",VLOOKUP('Opći dio'!$C$3,'Opći dio'!$L$6:$U$136,9,FALSE))</f>
        <v/>
      </c>
      <c r="C309" s="152"/>
      <c r="D309" s="147" t="str">
        <f t="shared" si="35"/>
        <v/>
      </c>
      <c r="E309" s="152"/>
      <c r="F309" s="147" t="str">
        <f t="shared" si="36"/>
        <v/>
      </c>
      <c r="G309" s="199"/>
      <c r="H309" s="147" t="str">
        <f t="shared" si="37"/>
        <v/>
      </c>
      <c r="I309" s="196"/>
      <c r="J309" s="196"/>
      <c r="K309" s="196"/>
      <c r="M309" s="142" t="str">
        <f t="shared" si="38"/>
        <v/>
      </c>
      <c r="N309" s="142" t="str">
        <f t="shared" si="39"/>
        <v/>
      </c>
    </row>
    <row r="310" spans="1:14">
      <c r="A310" s="146" t="str">
        <f>IF(C310="","",VLOOKUP('Opći dio'!$C$3,'Opći dio'!$L$6:$U$136,10,FALSE))</f>
        <v/>
      </c>
      <c r="B310" s="146" t="str">
        <f>IF(C310="","",VLOOKUP('Opći dio'!$C$3,'Opći dio'!$L$6:$U$136,9,FALSE))</f>
        <v/>
      </c>
      <c r="C310" s="152"/>
      <c r="D310" s="147" t="str">
        <f t="shared" si="35"/>
        <v/>
      </c>
      <c r="E310" s="152"/>
      <c r="F310" s="147" t="str">
        <f t="shared" si="36"/>
        <v/>
      </c>
      <c r="G310" s="199"/>
      <c r="H310" s="147" t="str">
        <f t="shared" si="37"/>
        <v/>
      </c>
      <c r="I310" s="196"/>
      <c r="J310" s="196"/>
      <c r="K310" s="196"/>
      <c r="M310" s="142" t="str">
        <f t="shared" si="38"/>
        <v/>
      </c>
      <c r="N310" s="142" t="str">
        <f t="shared" si="39"/>
        <v/>
      </c>
    </row>
    <row r="311" spans="1:14">
      <c r="A311" s="146" t="str">
        <f>IF(C311="","",VLOOKUP('Opći dio'!$C$3,'Opći dio'!$L$6:$U$136,10,FALSE))</f>
        <v/>
      </c>
      <c r="B311" s="146" t="str">
        <f>IF(C311="","",VLOOKUP('Opći dio'!$C$3,'Opći dio'!$L$6:$U$136,9,FALSE))</f>
        <v/>
      </c>
      <c r="C311" s="152"/>
      <c r="D311" s="147" t="str">
        <f t="shared" si="35"/>
        <v/>
      </c>
      <c r="E311" s="152"/>
      <c r="F311" s="147" t="str">
        <f t="shared" si="36"/>
        <v/>
      </c>
      <c r="G311" s="199"/>
      <c r="H311" s="147" t="str">
        <f t="shared" si="37"/>
        <v/>
      </c>
      <c r="I311" s="196"/>
      <c r="J311" s="196"/>
      <c r="K311" s="196"/>
      <c r="M311" s="142" t="str">
        <f t="shared" si="38"/>
        <v/>
      </c>
      <c r="N311" s="142" t="str">
        <f t="shared" si="39"/>
        <v/>
      </c>
    </row>
    <row r="312" spans="1:14">
      <c r="A312" s="146" t="str">
        <f>IF(C312="","",VLOOKUP('Opći dio'!$C$3,'Opći dio'!$L$6:$U$136,10,FALSE))</f>
        <v/>
      </c>
      <c r="B312" s="146" t="str">
        <f>IF(C312="","",VLOOKUP('Opći dio'!$C$3,'Opći dio'!$L$6:$U$136,9,FALSE))</f>
        <v/>
      </c>
      <c r="C312" s="152"/>
      <c r="D312" s="147" t="str">
        <f t="shared" si="35"/>
        <v/>
      </c>
      <c r="E312" s="152"/>
      <c r="F312" s="147" t="str">
        <f t="shared" si="36"/>
        <v/>
      </c>
      <c r="G312" s="199"/>
      <c r="H312" s="147" t="str">
        <f t="shared" si="37"/>
        <v/>
      </c>
      <c r="I312" s="196"/>
      <c r="J312" s="196"/>
      <c r="K312" s="196"/>
      <c r="M312" s="142" t="str">
        <f t="shared" si="38"/>
        <v/>
      </c>
      <c r="N312" s="142" t="str">
        <f t="shared" si="39"/>
        <v/>
      </c>
    </row>
    <row r="313" spans="1:14">
      <c r="A313" s="146" t="str">
        <f>IF(C313="","",VLOOKUP('Opći dio'!$C$3,'Opći dio'!$L$6:$U$136,10,FALSE))</f>
        <v/>
      </c>
      <c r="B313" s="146" t="str">
        <f>IF(C313="","",VLOOKUP('Opći dio'!$C$3,'Opći dio'!$L$6:$U$136,9,FALSE))</f>
        <v/>
      </c>
      <c r="C313" s="152"/>
      <c r="D313" s="147" t="str">
        <f t="shared" si="35"/>
        <v/>
      </c>
      <c r="E313" s="152"/>
      <c r="F313" s="147" t="str">
        <f t="shared" si="36"/>
        <v/>
      </c>
      <c r="G313" s="199"/>
      <c r="H313" s="147" t="str">
        <f t="shared" si="37"/>
        <v/>
      </c>
      <c r="I313" s="196"/>
      <c r="J313" s="196"/>
      <c r="K313" s="196"/>
      <c r="M313" s="142" t="str">
        <f t="shared" si="38"/>
        <v/>
      </c>
      <c r="N313" s="142" t="str">
        <f t="shared" si="39"/>
        <v/>
      </c>
    </row>
    <row r="314" spans="1:14">
      <c r="A314" s="146" t="str">
        <f>IF(C314="","",VLOOKUP('Opći dio'!$C$3,'Opći dio'!$L$6:$U$136,10,FALSE))</f>
        <v/>
      </c>
      <c r="B314" s="146" t="str">
        <f>IF(C314="","",VLOOKUP('Opći dio'!$C$3,'Opći dio'!$L$6:$U$136,9,FALSE))</f>
        <v/>
      </c>
      <c r="C314" s="152"/>
      <c r="D314" s="147" t="str">
        <f t="shared" si="35"/>
        <v/>
      </c>
      <c r="E314" s="152"/>
      <c r="F314" s="147" t="str">
        <f t="shared" si="36"/>
        <v/>
      </c>
      <c r="G314" s="199"/>
      <c r="H314" s="147" t="str">
        <f t="shared" si="37"/>
        <v/>
      </c>
      <c r="I314" s="196"/>
      <c r="J314" s="196"/>
      <c r="K314" s="196"/>
      <c r="M314" s="142" t="str">
        <f t="shared" si="38"/>
        <v/>
      </c>
      <c r="N314" s="142" t="str">
        <f t="shared" si="39"/>
        <v/>
      </c>
    </row>
    <row r="315" spans="1:14">
      <c r="A315" s="146" t="str">
        <f>IF(C315="","",VLOOKUP('Opći dio'!$C$3,'Opći dio'!$L$6:$U$136,10,FALSE))</f>
        <v/>
      </c>
      <c r="B315" s="146" t="str">
        <f>IF(C315="","",VLOOKUP('Opći dio'!$C$3,'Opći dio'!$L$6:$U$136,9,FALSE))</f>
        <v/>
      </c>
      <c r="C315" s="152"/>
      <c r="D315" s="147" t="str">
        <f t="shared" si="35"/>
        <v/>
      </c>
      <c r="E315" s="152"/>
      <c r="F315" s="147" t="str">
        <f t="shared" si="36"/>
        <v/>
      </c>
      <c r="G315" s="199"/>
      <c r="H315" s="147" t="str">
        <f t="shared" si="37"/>
        <v/>
      </c>
      <c r="I315" s="196"/>
      <c r="J315" s="196"/>
      <c r="K315" s="196"/>
      <c r="M315" s="142" t="str">
        <f t="shared" si="38"/>
        <v/>
      </c>
      <c r="N315" s="142" t="str">
        <f t="shared" si="39"/>
        <v/>
      </c>
    </row>
    <row r="316" spans="1:14">
      <c r="A316" s="146" t="str">
        <f>IF(C316="","",VLOOKUP('Opći dio'!$C$3,'Opći dio'!$L$6:$U$136,10,FALSE))</f>
        <v/>
      </c>
      <c r="B316" s="146" t="str">
        <f>IF(C316="","",VLOOKUP('Opći dio'!$C$3,'Opći dio'!$L$6:$U$136,9,FALSE))</f>
        <v/>
      </c>
      <c r="C316" s="152"/>
      <c r="D316" s="147" t="str">
        <f t="shared" si="35"/>
        <v/>
      </c>
      <c r="E316" s="152"/>
      <c r="F316" s="147" t="str">
        <f t="shared" si="36"/>
        <v/>
      </c>
      <c r="G316" s="199"/>
      <c r="H316" s="147" t="str">
        <f t="shared" si="37"/>
        <v/>
      </c>
      <c r="I316" s="196"/>
      <c r="J316" s="196"/>
      <c r="K316" s="196"/>
      <c r="M316" s="142" t="str">
        <f t="shared" si="38"/>
        <v/>
      </c>
      <c r="N316" s="142" t="str">
        <f t="shared" si="39"/>
        <v/>
      </c>
    </row>
    <row r="317" spans="1:14">
      <c r="A317" s="146" t="str">
        <f>IF(C317="","",VLOOKUP('Opći dio'!$C$3,'Opći dio'!$L$6:$U$136,10,FALSE))</f>
        <v/>
      </c>
      <c r="B317" s="146" t="str">
        <f>IF(C317="","",VLOOKUP('Opći dio'!$C$3,'Opći dio'!$L$6:$U$136,9,FALSE))</f>
        <v/>
      </c>
      <c r="C317" s="152"/>
      <c r="D317" s="147" t="str">
        <f t="shared" si="35"/>
        <v/>
      </c>
      <c r="E317" s="152"/>
      <c r="F317" s="147" t="str">
        <f t="shared" si="36"/>
        <v/>
      </c>
      <c r="G317" s="199"/>
      <c r="H317" s="147" t="str">
        <f t="shared" si="37"/>
        <v/>
      </c>
      <c r="I317" s="196"/>
      <c r="J317" s="196"/>
      <c r="K317" s="196"/>
      <c r="M317" s="142" t="str">
        <f t="shared" si="38"/>
        <v/>
      </c>
      <c r="N317" s="142" t="str">
        <f t="shared" si="39"/>
        <v/>
      </c>
    </row>
    <row r="318" spans="1:14">
      <c r="A318" s="146" t="str">
        <f>IF(C318="","",VLOOKUP('Opći dio'!$C$3,'Opći dio'!$L$6:$U$136,10,FALSE))</f>
        <v/>
      </c>
      <c r="B318" s="146" t="str">
        <f>IF(C318="","",VLOOKUP('Opći dio'!$C$3,'Opći dio'!$L$6:$U$136,9,FALSE))</f>
        <v/>
      </c>
      <c r="C318" s="152"/>
      <c r="D318" s="147" t="str">
        <f t="shared" si="35"/>
        <v/>
      </c>
      <c r="E318" s="152"/>
      <c r="F318" s="147" t="str">
        <f t="shared" si="36"/>
        <v/>
      </c>
      <c r="G318" s="199"/>
      <c r="H318" s="147" t="str">
        <f t="shared" si="37"/>
        <v/>
      </c>
      <c r="I318" s="196"/>
      <c r="J318" s="196"/>
      <c r="K318" s="196"/>
      <c r="M318" s="142" t="str">
        <f t="shared" si="38"/>
        <v/>
      </c>
      <c r="N318" s="142" t="str">
        <f t="shared" si="39"/>
        <v/>
      </c>
    </row>
    <row r="319" spans="1:14">
      <c r="A319" s="146" t="str">
        <f>IF(C319="","",VLOOKUP('Opći dio'!$C$3,'Opći dio'!$L$6:$U$136,10,FALSE))</f>
        <v/>
      </c>
      <c r="B319" s="146" t="str">
        <f>IF(C319="","",VLOOKUP('Opći dio'!$C$3,'Opći dio'!$L$6:$U$136,9,FALSE))</f>
        <v/>
      </c>
      <c r="C319" s="152"/>
      <c r="D319" s="147" t="str">
        <f t="shared" si="35"/>
        <v/>
      </c>
      <c r="E319" s="152"/>
      <c r="F319" s="147" t="str">
        <f t="shared" si="36"/>
        <v/>
      </c>
      <c r="G319" s="199"/>
      <c r="H319" s="147" t="str">
        <f t="shared" si="37"/>
        <v/>
      </c>
      <c r="I319" s="196"/>
      <c r="J319" s="196"/>
      <c r="K319" s="196"/>
      <c r="M319" s="142" t="str">
        <f t="shared" si="38"/>
        <v/>
      </c>
      <c r="N319" s="142" t="str">
        <f t="shared" si="39"/>
        <v/>
      </c>
    </row>
    <row r="320" spans="1:14">
      <c r="A320" s="146" t="str">
        <f>IF(C320="","",VLOOKUP('Opći dio'!$C$3,'Opći dio'!$L$6:$U$136,10,FALSE))</f>
        <v/>
      </c>
      <c r="B320" s="146" t="str">
        <f>IF(C320="","",VLOOKUP('Opći dio'!$C$3,'Opći dio'!$L$6:$U$136,9,FALSE))</f>
        <v/>
      </c>
      <c r="C320" s="152"/>
      <c r="D320" s="147" t="str">
        <f t="shared" si="35"/>
        <v/>
      </c>
      <c r="E320" s="152"/>
      <c r="F320" s="147" t="str">
        <f t="shared" si="36"/>
        <v/>
      </c>
      <c r="G320" s="199"/>
      <c r="H320" s="147" t="str">
        <f t="shared" si="37"/>
        <v/>
      </c>
      <c r="I320" s="196"/>
      <c r="J320" s="196"/>
      <c r="K320" s="196"/>
      <c r="M320" s="142" t="str">
        <f t="shared" si="38"/>
        <v/>
      </c>
      <c r="N320" s="142" t="str">
        <f t="shared" si="39"/>
        <v/>
      </c>
    </row>
    <row r="321" spans="1:14">
      <c r="A321" s="146" t="str">
        <f>IF(C321="","",VLOOKUP('Opći dio'!$C$3,'Opći dio'!$L$6:$U$136,10,FALSE))</f>
        <v/>
      </c>
      <c r="B321" s="146" t="str">
        <f>IF(C321="","",VLOOKUP('Opći dio'!$C$3,'Opći dio'!$L$6:$U$136,9,FALSE))</f>
        <v/>
      </c>
      <c r="C321" s="152"/>
      <c r="D321" s="147" t="str">
        <f t="shared" si="35"/>
        <v/>
      </c>
      <c r="E321" s="152"/>
      <c r="F321" s="147" t="str">
        <f t="shared" si="36"/>
        <v/>
      </c>
      <c r="G321" s="199"/>
      <c r="H321" s="147" t="str">
        <f t="shared" si="37"/>
        <v/>
      </c>
      <c r="I321" s="196"/>
      <c r="J321" s="196"/>
      <c r="K321" s="196"/>
      <c r="M321" s="142" t="str">
        <f t="shared" si="38"/>
        <v/>
      </c>
      <c r="N321" s="142" t="str">
        <f t="shared" si="39"/>
        <v/>
      </c>
    </row>
    <row r="322" spans="1:14">
      <c r="A322" s="146" t="str">
        <f>IF(C322="","",VLOOKUP('Opći dio'!$C$3,'Opći dio'!$L$6:$U$136,10,FALSE))</f>
        <v/>
      </c>
      <c r="B322" s="146" t="str">
        <f>IF(C322="","",VLOOKUP('Opći dio'!$C$3,'Opći dio'!$L$6:$U$136,9,FALSE))</f>
        <v/>
      </c>
      <c r="C322" s="152"/>
      <c r="D322" s="147" t="str">
        <f t="shared" si="35"/>
        <v/>
      </c>
      <c r="E322" s="152"/>
      <c r="F322" s="147" t="str">
        <f t="shared" si="36"/>
        <v/>
      </c>
      <c r="G322" s="199"/>
      <c r="H322" s="147" t="str">
        <f t="shared" si="37"/>
        <v/>
      </c>
      <c r="I322" s="196"/>
      <c r="J322" s="196"/>
      <c r="K322" s="196"/>
      <c r="M322" s="142" t="str">
        <f t="shared" si="38"/>
        <v/>
      </c>
      <c r="N322" s="142" t="str">
        <f t="shared" si="39"/>
        <v/>
      </c>
    </row>
    <row r="323" spans="1:14">
      <c r="A323" s="146" t="str">
        <f>IF(C323="","",VLOOKUP('Opći dio'!$C$3,'Opći dio'!$L$6:$U$136,10,FALSE))</f>
        <v/>
      </c>
      <c r="B323" s="146" t="str">
        <f>IF(C323="","",VLOOKUP('Opći dio'!$C$3,'Opći dio'!$L$6:$U$136,9,FALSE))</f>
        <v/>
      </c>
      <c r="C323" s="152"/>
      <c r="D323" s="147" t="str">
        <f t="shared" si="35"/>
        <v/>
      </c>
      <c r="E323" s="152"/>
      <c r="F323" s="147" t="str">
        <f t="shared" si="36"/>
        <v/>
      </c>
      <c r="G323" s="199"/>
      <c r="H323" s="147" t="str">
        <f t="shared" si="37"/>
        <v/>
      </c>
      <c r="I323" s="196"/>
      <c r="J323" s="196"/>
      <c r="K323" s="196"/>
      <c r="M323" s="142" t="str">
        <f t="shared" si="38"/>
        <v/>
      </c>
      <c r="N323" s="142" t="str">
        <f t="shared" si="39"/>
        <v/>
      </c>
    </row>
    <row r="324" spans="1:14">
      <c r="A324" s="146" t="str">
        <f>IF(C324="","",VLOOKUP('Opći dio'!$C$3,'Opći dio'!$L$6:$U$136,10,FALSE))</f>
        <v/>
      </c>
      <c r="B324" s="146" t="str">
        <f>IF(C324="","",VLOOKUP('Opći dio'!$C$3,'Opći dio'!$L$6:$U$136,9,FALSE))</f>
        <v/>
      </c>
      <c r="C324" s="152"/>
      <c r="D324" s="147" t="str">
        <f t="shared" ref="D324:D387" si="40">IFERROR(VLOOKUP(C324,$O$6:$P$22,2,FALSE),"")</f>
        <v/>
      </c>
      <c r="E324" s="152"/>
      <c r="F324" s="147" t="str">
        <f t="shared" ref="F324:F387" si="41">IFERROR(VLOOKUP(E324,$R$5:$T$129,2,FALSE),"")</f>
        <v/>
      </c>
      <c r="G324" s="199"/>
      <c r="H324" s="147" t="str">
        <f t="shared" ref="H324:H387" si="42">IFERROR(VLOOKUP(G324,$X$6:$Y$171,2,FALSE),"")</f>
        <v/>
      </c>
      <c r="I324" s="196"/>
      <c r="J324" s="196"/>
      <c r="K324" s="196"/>
      <c r="M324" s="142" t="str">
        <f t="shared" ref="M324:M387" si="43">LEFT(E324,3)</f>
        <v/>
      </c>
      <c r="N324" s="142" t="str">
        <f t="shared" ref="N324:N387" si="44">LEFT(E324,2)</f>
        <v/>
      </c>
    </row>
    <row r="325" spans="1:14">
      <c r="A325" s="146" t="str">
        <f>IF(C325="","",VLOOKUP('Opći dio'!$C$3,'Opći dio'!$L$6:$U$136,10,FALSE))</f>
        <v/>
      </c>
      <c r="B325" s="146" t="str">
        <f>IF(C325="","",VLOOKUP('Opći dio'!$C$3,'Opći dio'!$L$6:$U$136,9,FALSE))</f>
        <v/>
      </c>
      <c r="C325" s="152"/>
      <c r="D325" s="147" t="str">
        <f t="shared" si="40"/>
        <v/>
      </c>
      <c r="E325" s="152"/>
      <c r="F325" s="147" t="str">
        <f t="shared" si="41"/>
        <v/>
      </c>
      <c r="G325" s="199"/>
      <c r="H325" s="147" t="str">
        <f t="shared" si="42"/>
        <v/>
      </c>
      <c r="I325" s="196"/>
      <c r="J325" s="196"/>
      <c r="K325" s="196"/>
      <c r="M325" s="142" t="str">
        <f t="shared" si="43"/>
        <v/>
      </c>
      <c r="N325" s="142" t="str">
        <f t="shared" si="44"/>
        <v/>
      </c>
    </row>
    <row r="326" spans="1:14">
      <c r="A326" s="146" t="str">
        <f>IF(C326="","",VLOOKUP('Opći dio'!$C$3,'Opći dio'!$L$6:$U$136,10,FALSE))</f>
        <v/>
      </c>
      <c r="B326" s="146" t="str">
        <f>IF(C326="","",VLOOKUP('Opći dio'!$C$3,'Opći dio'!$L$6:$U$136,9,FALSE))</f>
        <v/>
      </c>
      <c r="C326" s="152"/>
      <c r="D326" s="147" t="str">
        <f t="shared" si="40"/>
        <v/>
      </c>
      <c r="E326" s="152"/>
      <c r="F326" s="147" t="str">
        <f t="shared" si="41"/>
        <v/>
      </c>
      <c r="G326" s="199"/>
      <c r="H326" s="147" t="str">
        <f t="shared" si="42"/>
        <v/>
      </c>
      <c r="I326" s="196"/>
      <c r="J326" s="196"/>
      <c r="K326" s="196"/>
      <c r="M326" s="142" t="str">
        <f t="shared" si="43"/>
        <v/>
      </c>
      <c r="N326" s="142" t="str">
        <f t="shared" si="44"/>
        <v/>
      </c>
    </row>
    <row r="327" spans="1:14">
      <c r="A327" s="146" t="str">
        <f>IF(C327="","",VLOOKUP('Opći dio'!$C$3,'Opći dio'!$L$6:$U$136,10,FALSE))</f>
        <v/>
      </c>
      <c r="B327" s="146" t="str">
        <f>IF(C327="","",VLOOKUP('Opći dio'!$C$3,'Opći dio'!$L$6:$U$136,9,FALSE))</f>
        <v/>
      </c>
      <c r="C327" s="152"/>
      <c r="D327" s="147" t="str">
        <f t="shared" si="40"/>
        <v/>
      </c>
      <c r="E327" s="152"/>
      <c r="F327" s="147" t="str">
        <f t="shared" si="41"/>
        <v/>
      </c>
      <c r="G327" s="199"/>
      <c r="H327" s="147" t="str">
        <f t="shared" si="42"/>
        <v/>
      </c>
      <c r="I327" s="196"/>
      <c r="J327" s="196"/>
      <c r="K327" s="196"/>
      <c r="M327" s="142" t="str">
        <f t="shared" si="43"/>
        <v/>
      </c>
      <c r="N327" s="142" t="str">
        <f t="shared" si="44"/>
        <v/>
      </c>
    </row>
    <row r="328" spans="1:14">
      <c r="A328" s="146" t="str">
        <f>IF(C328="","",VLOOKUP('Opći dio'!$C$3,'Opći dio'!$L$6:$U$136,10,FALSE))</f>
        <v/>
      </c>
      <c r="B328" s="146" t="str">
        <f>IF(C328="","",VLOOKUP('Opći dio'!$C$3,'Opći dio'!$L$6:$U$136,9,FALSE))</f>
        <v/>
      </c>
      <c r="C328" s="152"/>
      <c r="D328" s="147" t="str">
        <f t="shared" si="40"/>
        <v/>
      </c>
      <c r="E328" s="152"/>
      <c r="F328" s="147" t="str">
        <f t="shared" si="41"/>
        <v/>
      </c>
      <c r="G328" s="199"/>
      <c r="H328" s="147" t="str">
        <f t="shared" si="42"/>
        <v/>
      </c>
      <c r="I328" s="196"/>
      <c r="J328" s="196"/>
      <c r="K328" s="196"/>
      <c r="M328" s="142" t="str">
        <f t="shared" si="43"/>
        <v/>
      </c>
      <c r="N328" s="142" t="str">
        <f t="shared" si="44"/>
        <v/>
      </c>
    </row>
    <row r="329" spans="1:14">
      <c r="A329" s="146" t="str">
        <f>IF(C329="","",VLOOKUP('Opći dio'!$C$3,'Opći dio'!$L$6:$U$136,10,FALSE))</f>
        <v/>
      </c>
      <c r="B329" s="146" t="str">
        <f>IF(C329="","",VLOOKUP('Opći dio'!$C$3,'Opći dio'!$L$6:$U$136,9,FALSE))</f>
        <v/>
      </c>
      <c r="C329" s="152"/>
      <c r="D329" s="147" t="str">
        <f t="shared" si="40"/>
        <v/>
      </c>
      <c r="E329" s="152"/>
      <c r="F329" s="147" t="str">
        <f t="shared" si="41"/>
        <v/>
      </c>
      <c r="G329" s="199"/>
      <c r="H329" s="147" t="str">
        <f t="shared" si="42"/>
        <v/>
      </c>
      <c r="I329" s="196"/>
      <c r="J329" s="196"/>
      <c r="K329" s="196"/>
      <c r="M329" s="142" t="str">
        <f t="shared" si="43"/>
        <v/>
      </c>
      <c r="N329" s="142" t="str">
        <f t="shared" si="44"/>
        <v/>
      </c>
    </row>
    <row r="330" spans="1:14">
      <c r="A330" s="146" t="str">
        <f>IF(C330="","",VLOOKUP('Opći dio'!$C$3,'Opći dio'!$L$6:$U$136,10,FALSE))</f>
        <v/>
      </c>
      <c r="B330" s="146" t="str">
        <f>IF(C330="","",VLOOKUP('Opći dio'!$C$3,'Opći dio'!$L$6:$U$136,9,FALSE))</f>
        <v/>
      </c>
      <c r="C330" s="152"/>
      <c r="D330" s="147" t="str">
        <f t="shared" si="40"/>
        <v/>
      </c>
      <c r="E330" s="152"/>
      <c r="F330" s="147" t="str">
        <f t="shared" si="41"/>
        <v/>
      </c>
      <c r="G330" s="199"/>
      <c r="H330" s="147" t="str">
        <f t="shared" si="42"/>
        <v/>
      </c>
      <c r="I330" s="196"/>
      <c r="J330" s="196"/>
      <c r="K330" s="196"/>
      <c r="M330" s="142" t="str">
        <f t="shared" si="43"/>
        <v/>
      </c>
      <c r="N330" s="142" t="str">
        <f t="shared" si="44"/>
        <v/>
      </c>
    </row>
    <row r="331" spans="1:14">
      <c r="A331" s="146" t="str">
        <f>IF(C331="","",VLOOKUP('Opći dio'!$C$3,'Opći dio'!$L$6:$U$136,10,FALSE))</f>
        <v/>
      </c>
      <c r="B331" s="146" t="str">
        <f>IF(C331="","",VLOOKUP('Opći dio'!$C$3,'Opći dio'!$L$6:$U$136,9,FALSE))</f>
        <v/>
      </c>
      <c r="C331" s="152"/>
      <c r="D331" s="147" t="str">
        <f t="shared" si="40"/>
        <v/>
      </c>
      <c r="E331" s="152"/>
      <c r="F331" s="147" t="str">
        <f t="shared" si="41"/>
        <v/>
      </c>
      <c r="G331" s="199"/>
      <c r="H331" s="147" t="str">
        <f t="shared" si="42"/>
        <v/>
      </c>
      <c r="I331" s="196"/>
      <c r="J331" s="196"/>
      <c r="K331" s="196"/>
      <c r="M331" s="142" t="str">
        <f t="shared" si="43"/>
        <v/>
      </c>
      <c r="N331" s="142" t="str">
        <f t="shared" si="44"/>
        <v/>
      </c>
    </row>
    <row r="332" spans="1:14">
      <c r="A332" s="146" t="str">
        <f>IF(C332="","",VLOOKUP('Opći dio'!$C$3,'Opći dio'!$L$6:$U$136,10,FALSE))</f>
        <v/>
      </c>
      <c r="B332" s="146" t="str">
        <f>IF(C332="","",VLOOKUP('Opći dio'!$C$3,'Opći dio'!$L$6:$U$136,9,FALSE))</f>
        <v/>
      </c>
      <c r="C332" s="152"/>
      <c r="D332" s="147" t="str">
        <f t="shared" si="40"/>
        <v/>
      </c>
      <c r="E332" s="152"/>
      <c r="F332" s="147" t="str">
        <f t="shared" si="41"/>
        <v/>
      </c>
      <c r="G332" s="199"/>
      <c r="H332" s="147" t="str">
        <f t="shared" si="42"/>
        <v/>
      </c>
      <c r="I332" s="196"/>
      <c r="J332" s="196"/>
      <c r="K332" s="196"/>
      <c r="M332" s="142" t="str">
        <f t="shared" si="43"/>
        <v/>
      </c>
      <c r="N332" s="142" t="str">
        <f t="shared" si="44"/>
        <v/>
      </c>
    </row>
    <row r="333" spans="1:14">
      <c r="A333" s="146" t="str">
        <f>IF(C333="","",VLOOKUP('Opći dio'!$C$3,'Opći dio'!$L$6:$U$136,10,FALSE))</f>
        <v/>
      </c>
      <c r="B333" s="146" t="str">
        <f>IF(C333="","",VLOOKUP('Opći dio'!$C$3,'Opći dio'!$L$6:$U$136,9,FALSE))</f>
        <v/>
      </c>
      <c r="C333" s="152"/>
      <c r="D333" s="147" t="str">
        <f t="shared" si="40"/>
        <v/>
      </c>
      <c r="E333" s="152"/>
      <c r="F333" s="147" t="str">
        <f t="shared" si="41"/>
        <v/>
      </c>
      <c r="G333" s="199"/>
      <c r="H333" s="147" t="str">
        <f t="shared" si="42"/>
        <v/>
      </c>
      <c r="I333" s="196"/>
      <c r="J333" s="196"/>
      <c r="K333" s="196"/>
      <c r="M333" s="142" t="str">
        <f t="shared" si="43"/>
        <v/>
      </c>
      <c r="N333" s="142" t="str">
        <f t="shared" si="44"/>
        <v/>
      </c>
    </row>
    <row r="334" spans="1:14">
      <c r="A334" s="146" t="str">
        <f>IF(C334="","",VLOOKUP('Opći dio'!$C$3,'Opći dio'!$L$6:$U$136,10,FALSE))</f>
        <v/>
      </c>
      <c r="B334" s="146" t="str">
        <f>IF(C334="","",VLOOKUP('Opći dio'!$C$3,'Opći dio'!$L$6:$U$136,9,FALSE))</f>
        <v/>
      </c>
      <c r="C334" s="152"/>
      <c r="D334" s="147" t="str">
        <f t="shared" si="40"/>
        <v/>
      </c>
      <c r="E334" s="152"/>
      <c r="F334" s="147" t="str">
        <f t="shared" si="41"/>
        <v/>
      </c>
      <c r="G334" s="199"/>
      <c r="H334" s="147" t="str">
        <f t="shared" si="42"/>
        <v/>
      </c>
      <c r="I334" s="196"/>
      <c r="J334" s="196"/>
      <c r="K334" s="196"/>
      <c r="M334" s="142" t="str">
        <f t="shared" si="43"/>
        <v/>
      </c>
      <c r="N334" s="142" t="str">
        <f t="shared" si="44"/>
        <v/>
      </c>
    </row>
    <row r="335" spans="1:14">
      <c r="A335" s="146" t="str">
        <f>IF(C335="","",VLOOKUP('Opći dio'!$C$3,'Opći dio'!$L$6:$U$136,10,FALSE))</f>
        <v/>
      </c>
      <c r="B335" s="146" t="str">
        <f>IF(C335="","",VLOOKUP('Opći dio'!$C$3,'Opći dio'!$L$6:$U$136,9,FALSE))</f>
        <v/>
      </c>
      <c r="C335" s="152"/>
      <c r="D335" s="147" t="str">
        <f t="shared" si="40"/>
        <v/>
      </c>
      <c r="E335" s="152"/>
      <c r="F335" s="147" t="str">
        <f t="shared" si="41"/>
        <v/>
      </c>
      <c r="G335" s="199"/>
      <c r="H335" s="147" t="str">
        <f t="shared" si="42"/>
        <v/>
      </c>
      <c r="I335" s="196"/>
      <c r="J335" s="196"/>
      <c r="K335" s="196"/>
      <c r="M335" s="142" t="str">
        <f t="shared" si="43"/>
        <v/>
      </c>
      <c r="N335" s="142" t="str">
        <f t="shared" si="44"/>
        <v/>
      </c>
    </row>
    <row r="336" spans="1:14">
      <c r="A336" s="146" t="str">
        <f>IF(C336="","",VLOOKUP('Opći dio'!$C$3,'Opći dio'!$L$6:$U$136,10,FALSE))</f>
        <v/>
      </c>
      <c r="B336" s="146" t="str">
        <f>IF(C336="","",VLOOKUP('Opći dio'!$C$3,'Opći dio'!$L$6:$U$136,9,FALSE))</f>
        <v/>
      </c>
      <c r="C336" s="152"/>
      <c r="D336" s="147" t="str">
        <f t="shared" si="40"/>
        <v/>
      </c>
      <c r="E336" s="152"/>
      <c r="F336" s="147" t="str">
        <f t="shared" si="41"/>
        <v/>
      </c>
      <c r="G336" s="199"/>
      <c r="H336" s="147" t="str">
        <f t="shared" si="42"/>
        <v/>
      </c>
      <c r="I336" s="196"/>
      <c r="J336" s="196"/>
      <c r="K336" s="196"/>
      <c r="M336" s="142" t="str">
        <f t="shared" si="43"/>
        <v/>
      </c>
      <c r="N336" s="142" t="str">
        <f t="shared" si="44"/>
        <v/>
      </c>
    </row>
    <row r="337" spans="1:14">
      <c r="A337" s="146" t="str">
        <f>IF(C337="","",VLOOKUP('Opći dio'!$C$3,'Opći dio'!$L$6:$U$136,10,FALSE))</f>
        <v/>
      </c>
      <c r="B337" s="146" t="str">
        <f>IF(C337="","",VLOOKUP('Opći dio'!$C$3,'Opći dio'!$L$6:$U$136,9,FALSE))</f>
        <v/>
      </c>
      <c r="C337" s="152"/>
      <c r="D337" s="147" t="str">
        <f t="shared" si="40"/>
        <v/>
      </c>
      <c r="E337" s="152"/>
      <c r="F337" s="147" t="str">
        <f t="shared" si="41"/>
        <v/>
      </c>
      <c r="G337" s="199"/>
      <c r="H337" s="147" t="str">
        <f t="shared" si="42"/>
        <v/>
      </c>
      <c r="I337" s="196"/>
      <c r="J337" s="196"/>
      <c r="K337" s="196"/>
      <c r="M337" s="142" t="str">
        <f t="shared" si="43"/>
        <v/>
      </c>
      <c r="N337" s="142" t="str">
        <f t="shared" si="44"/>
        <v/>
      </c>
    </row>
    <row r="338" spans="1:14">
      <c r="A338" s="146" t="str">
        <f>IF(C338="","",VLOOKUP('Opći dio'!$C$3,'Opći dio'!$L$6:$U$136,10,FALSE))</f>
        <v/>
      </c>
      <c r="B338" s="146" t="str">
        <f>IF(C338="","",VLOOKUP('Opći dio'!$C$3,'Opći dio'!$L$6:$U$136,9,FALSE))</f>
        <v/>
      </c>
      <c r="C338" s="152"/>
      <c r="D338" s="147" t="str">
        <f t="shared" si="40"/>
        <v/>
      </c>
      <c r="E338" s="152"/>
      <c r="F338" s="147" t="str">
        <f t="shared" si="41"/>
        <v/>
      </c>
      <c r="G338" s="199"/>
      <c r="H338" s="147" t="str">
        <f t="shared" si="42"/>
        <v/>
      </c>
      <c r="I338" s="196"/>
      <c r="J338" s="196"/>
      <c r="K338" s="196"/>
      <c r="M338" s="142" t="str">
        <f t="shared" si="43"/>
        <v/>
      </c>
      <c r="N338" s="142" t="str">
        <f t="shared" si="44"/>
        <v/>
      </c>
    </row>
    <row r="339" spans="1:14">
      <c r="A339" s="146" t="str">
        <f>IF(C339="","",VLOOKUP('Opći dio'!$C$3,'Opći dio'!$L$6:$U$136,10,FALSE))</f>
        <v/>
      </c>
      <c r="B339" s="146" t="str">
        <f>IF(C339="","",VLOOKUP('Opći dio'!$C$3,'Opći dio'!$L$6:$U$136,9,FALSE))</f>
        <v/>
      </c>
      <c r="C339" s="152"/>
      <c r="D339" s="147" t="str">
        <f t="shared" si="40"/>
        <v/>
      </c>
      <c r="E339" s="152"/>
      <c r="F339" s="147" t="str">
        <f t="shared" si="41"/>
        <v/>
      </c>
      <c r="G339" s="199"/>
      <c r="H339" s="147" t="str">
        <f t="shared" si="42"/>
        <v/>
      </c>
      <c r="I339" s="196"/>
      <c r="J339" s="196"/>
      <c r="K339" s="196"/>
      <c r="M339" s="142" t="str">
        <f t="shared" si="43"/>
        <v/>
      </c>
      <c r="N339" s="142" t="str">
        <f t="shared" si="44"/>
        <v/>
      </c>
    </row>
    <row r="340" spans="1:14">
      <c r="A340" s="146" t="str">
        <f>IF(C340="","",VLOOKUP('Opći dio'!$C$3,'Opći dio'!$L$6:$U$136,10,FALSE))</f>
        <v/>
      </c>
      <c r="B340" s="146" t="str">
        <f>IF(C340="","",VLOOKUP('Opći dio'!$C$3,'Opći dio'!$L$6:$U$136,9,FALSE))</f>
        <v/>
      </c>
      <c r="C340" s="152"/>
      <c r="D340" s="147" t="str">
        <f t="shared" si="40"/>
        <v/>
      </c>
      <c r="E340" s="152"/>
      <c r="F340" s="147" t="str">
        <f t="shared" si="41"/>
        <v/>
      </c>
      <c r="G340" s="199"/>
      <c r="H340" s="147" t="str">
        <f t="shared" si="42"/>
        <v/>
      </c>
      <c r="I340" s="196"/>
      <c r="J340" s="196"/>
      <c r="K340" s="196"/>
      <c r="M340" s="142" t="str">
        <f t="shared" si="43"/>
        <v/>
      </c>
      <c r="N340" s="142" t="str">
        <f t="shared" si="44"/>
        <v/>
      </c>
    </row>
    <row r="341" spans="1:14">
      <c r="A341" s="146" t="str">
        <f>IF(C341="","",VLOOKUP('Opći dio'!$C$3,'Opći dio'!$L$6:$U$136,10,FALSE))</f>
        <v/>
      </c>
      <c r="B341" s="146" t="str">
        <f>IF(C341="","",VLOOKUP('Opći dio'!$C$3,'Opći dio'!$L$6:$U$136,9,FALSE))</f>
        <v/>
      </c>
      <c r="C341" s="152"/>
      <c r="D341" s="147" t="str">
        <f t="shared" si="40"/>
        <v/>
      </c>
      <c r="E341" s="152"/>
      <c r="F341" s="147" t="str">
        <f t="shared" si="41"/>
        <v/>
      </c>
      <c r="G341" s="199"/>
      <c r="H341" s="147" t="str">
        <f t="shared" si="42"/>
        <v/>
      </c>
      <c r="I341" s="196"/>
      <c r="J341" s="196"/>
      <c r="K341" s="196"/>
      <c r="M341" s="142" t="str">
        <f t="shared" si="43"/>
        <v/>
      </c>
      <c r="N341" s="142" t="str">
        <f t="shared" si="44"/>
        <v/>
      </c>
    </row>
    <row r="342" spans="1:14">
      <c r="A342" s="146" t="str">
        <f>IF(C342="","",VLOOKUP('Opći dio'!$C$3,'Opći dio'!$L$6:$U$136,10,FALSE))</f>
        <v/>
      </c>
      <c r="B342" s="146" t="str">
        <f>IF(C342="","",VLOOKUP('Opći dio'!$C$3,'Opći dio'!$L$6:$U$136,9,FALSE))</f>
        <v/>
      </c>
      <c r="C342" s="152"/>
      <c r="D342" s="147" t="str">
        <f t="shared" si="40"/>
        <v/>
      </c>
      <c r="E342" s="152"/>
      <c r="F342" s="147" t="str">
        <f t="shared" si="41"/>
        <v/>
      </c>
      <c r="G342" s="199"/>
      <c r="H342" s="147" t="str">
        <f t="shared" si="42"/>
        <v/>
      </c>
      <c r="I342" s="196"/>
      <c r="J342" s="196"/>
      <c r="K342" s="196"/>
      <c r="M342" s="142" t="str">
        <f t="shared" si="43"/>
        <v/>
      </c>
      <c r="N342" s="142" t="str">
        <f t="shared" si="44"/>
        <v/>
      </c>
    </row>
    <row r="343" spans="1:14">
      <c r="A343" s="146" t="str">
        <f>IF(C343="","",VLOOKUP('Opći dio'!$C$3,'Opći dio'!$L$6:$U$136,10,FALSE))</f>
        <v/>
      </c>
      <c r="B343" s="146" t="str">
        <f>IF(C343="","",VLOOKUP('Opći dio'!$C$3,'Opći dio'!$L$6:$U$136,9,FALSE))</f>
        <v/>
      </c>
      <c r="C343" s="152"/>
      <c r="D343" s="147" t="str">
        <f t="shared" si="40"/>
        <v/>
      </c>
      <c r="E343" s="152"/>
      <c r="F343" s="147" t="str">
        <f t="shared" si="41"/>
        <v/>
      </c>
      <c r="G343" s="199"/>
      <c r="H343" s="147" t="str">
        <f t="shared" si="42"/>
        <v/>
      </c>
      <c r="I343" s="196"/>
      <c r="J343" s="196"/>
      <c r="K343" s="196"/>
      <c r="M343" s="142" t="str">
        <f t="shared" si="43"/>
        <v/>
      </c>
      <c r="N343" s="142" t="str">
        <f t="shared" si="44"/>
        <v/>
      </c>
    </row>
    <row r="344" spans="1:14">
      <c r="A344" s="146" t="str">
        <f>IF(C344="","",VLOOKUP('Opći dio'!$C$3,'Opći dio'!$L$6:$U$136,10,FALSE))</f>
        <v/>
      </c>
      <c r="B344" s="146" t="str">
        <f>IF(C344="","",VLOOKUP('Opći dio'!$C$3,'Opći dio'!$L$6:$U$136,9,FALSE))</f>
        <v/>
      </c>
      <c r="C344" s="152"/>
      <c r="D344" s="147" t="str">
        <f t="shared" si="40"/>
        <v/>
      </c>
      <c r="E344" s="152"/>
      <c r="F344" s="147" t="str">
        <f t="shared" si="41"/>
        <v/>
      </c>
      <c r="G344" s="199"/>
      <c r="H344" s="147" t="str">
        <f t="shared" si="42"/>
        <v/>
      </c>
      <c r="I344" s="196"/>
      <c r="J344" s="196"/>
      <c r="K344" s="196"/>
      <c r="M344" s="142" t="str">
        <f t="shared" si="43"/>
        <v/>
      </c>
      <c r="N344" s="142" t="str">
        <f t="shared" si="44"/>
        <v/>
      </c>
    </row>
    <row r="345" spans="1:14">
      <c r="A345" s="146" t="str">
        <f>IF(C345="","",VLOOKUP('Opći dio'!$C$3,'Opći dio'!$L$6:$U$136,10,FALSE))</f>
        <v/>
      </c>
      <c r="B345" s="146" t="str">
        <f>IF(C345="","",VLOOKUP('Opći dio'!$C$3,'Opći dio'!$L$6:$U$136,9,FALSE))</f>
        <v/>
      </c>
      <c r="C345" s="152"/>
      <c r="D345" s="147" t="str">
        <f t="shared" si="40"/>
        <v/>
      </c>
      <c r="E345" s="152"/>
      <c r="F345" s="147" t="str">
        <f t="shared" si="41"/>
        <v/>
      </c>
      <c r="G345" s="199"/>
      <c r="H345" s="147" t="str">
        <f t="shared" si="42"/>
        <v/>
      </c>
      <c r="I345" s="196"/>
      <c r="J345" s="196"/>
      <c r="K345" s="196"/>
      <c r="M345" s="142" t="str">
        <f t="shared" si="43"/>
        <v/>
      </c>
      <c r="N345" s="142" t="str">
        <f t="shared" si="44"/>
        <v/>
      </c>
    </row>
    <row r="346" spans="1:14">
      <c r="A346" s="146" t="str">
        <f>IF(C346="","",VLOOKUP('Opći dio'!$C$3,'Opći dio'!$L$6:$U$136,10,FALSE))</f>
        <v/>
      </c>
      <c r="B346" s="146" t="str">
        <f>IF(C346="","",VLOOKUP('Opći dio'!$C$3,'Opći dio'!$L$6:$U$136,9,FALSE))</f>
        <v/>
      </c>
      <c r="C346" s="152"/>
      <c r="D346" s="147" t="str">
        <f t="shared" si="40"/>
        <v/>
      </c>
      <c r="E346" s="152"/>
      <c r="F346" s="147" t="str">
        <f t="shared" si="41"/>
        <v/>
      </c>
      <c r="G346" s="199"/>
      <c r="H346" s="147" t="str">
        <f t="shared" si="42"/>
        <v/>
      </c>
      <c r="I346" s="196"/>
      <c r="J346" s="196"/>
      <c r="K346" s="196"/>
      <c r="M346" s="142" t="str">
        <f t="shared" si="43"/>
        <v/>
      </c>
      <c r="N346" s="142" t="str">
        <f t="shared" si="44"/>
        <v/>
      </c>
    </row>
    <row r="347" spans="1:14">
      <c r="A347" s="146" t="str">
        <f>IF(C347="","",VLOOKUP('Opći dio'!$C$3,'Opći dio'!$L$6:$U$136,10,FALSE))</f>
        <v/>
      </c>
      <c r="B347" s="146" t="str">
        <f>IF(C347="","",VLOOKUP('Opći dio'!$C$3,'Opći dio'!$L$6:$U$136,9,FALSE))</f>
        <v/>
      </c>
      <c r="C347" s="152"/>
      <c r="D347" s="147" t="str">
        <f t="shared" si="40"/>
        <v/>
      </c>
      <c r="E347" s="152"/>
      <c r="F347" s="147" t="str">
        <f t="shared" si="41"/>
        <v/>
      </c>
      <c r="G347" s="199"/>
      <c r="H347" s="147" t="str">
        <f t="shared" si="42"/>
        <v/>
      </c>
      <c r="I347" s="196"/>
      <c r="J347" s="196"/>
      <c r="K347" s="196"/>
      <c r="M347" s="142" t="str">
        <f t="shared" si="43"/>
        <v/>
      </c>
      <c r="N347" s="142" t="str">
        <f t="shared" si="44"/>
        <v/>
      </c>
    </row>
    <row r="348" spans="1:14">
      <c r="A348" s="146" t="str">
        <f>IF(C348="","",VLOOKUP('Opći dio'!$C$3,'Opći dio'!$L$6:$U$136,10,FALSE))</f>
        <v/>
      </c>
      <c r="B348" s="146" t="str">
        <f>IF(C348="","",VLOOKUP('Opći dio'!$C$3,'Opći dio'!$L$6:$U$136,9,FALSE))</f>
        <v/>
      </c>
      <c r="C348" s="152"/>
      <c r="D348" s="147" t="str">
        <f t="shared" si="40"/>
        <v/>
      </c>
      <c r="E348" s="152"/>
      <c r="F348" s="147" t="str">
        <f t="shared" si="41"/>
        <v/>
      </c>
      <c r="G348" s="199"/>
      <c r="H348" s="147" t="str">
        <f t="shared" si="42"/>
        <v/>
      </c>
      <c r="I348" s="196"/>
      <c r="J348" s="196"/>
      <c r="K348" s="196"/>
      <c r="M348" s="142" t="str">
        <f t="shared" si="43"/>
        <v/>
      </c>
      <c r="N348" s="142" t="str">
        <f t="shared" si="44"/>
        <v/>
      </c>
    </row>
    <row r="349" spans="1:14">
      <c r="A349" s="146" t="str">
        <f>IF(C349="","",VLOOKUP('Opći dio'!$C$3,'Opći dio'!$L$6:$U$136,10,FALSE))</f>
        <v/>
      </c>
      <c r="B349" s="146" t="str">
        <f>IF(C349="","",VLOOKUP('Opći dio'!$C$3,'Opći dio'!$L$6:$U$136,9,FALSE))</f>
        <v/>
      </c>
      <c r="C349" s="152"/>
      <c r="D349" s="147" t="str">
        <f t="shared" si="40"/>
        <v/>
      </c>
      <c r="E349" s="152"/>
      <c r="F349" s="147" t="str">
        <f t="shared" si="41"/>
        <v/>
      </c>
      <c r="G349" s="199"/>
      <c r="H349" s="147" t="str">
        <f t="shared" si="42"/>
        <v/>
      </c>
      <c r="I349" s="196"/>
      <c r="J349" s="196"/>
      <c r="K349" s="196"/>
      <c r="M349" s="142" t="str">
        <f t="shared" si="43"/>
        <v/>
      </c>
      <c r="N349" s="142" t="str">
        <f t="shared" si="44"/>
        <v/>
      </c>
    </row>
    <row r="350" spans="1:14">
      <c r="A350" s="146" t="str">
        <f>IF(C350="","",VLOOKUP('Opći dio'!$C$3,'Opći dio'!$L$6:$U$136,10,FALSE))</f>
        <v/>
      </c>
      <c r="B350" s="146" t="str">
        <f>IF(C350="","",VLOOKUP('Opći dio'!$C$3,'Opći dio'!$L$6:$U$136,9,FALSE))</f>
        <v/>
      </c>
      <c r="C350" s="152"/>
      <c r="D350" s="147" t="str">
        <f t="shared" si="40"/>
        <v/>
      </c>
      <c r="E350" s="152"/>
      <c r="F350" s="147" t="str">
        <f t="shared" si="41"/>
        <v/>
      </c>
      <c r="G350" s="199"/>
      <c r="H350" s="147" t="str">
        <f t="shared" si="42"/>
        <v/>
      </c>
      <c r="I350" s="196"/>
      <c r="J350" s="196"/>
      <c r="K350" s="196"/>
      <c r="M350" s="142" t="str">
        <f t="shared" si="43"/>
        <v/>
      </c>
      <c r="N350" s="142" t="str">
        <f t="shared" si="44"/>
        <v/>
      </c>
    </row>
    <row r="351" spans="1:14">
      <c r="A351" s="146" t="str">
        <f>IF(C351="","",VLOOKUP('Opći dio'!$C$3,'Opći dio'!$L$6:$U$136,10,FALSE))</f>
        <v/>
      </c>
      <c r="B351" s="146" t="str">
        <f>IF(C351="","",VLOOKUP('Opći dio'!$C$3,'Opći dio'!$L$6:$U$136,9,FALSE))</f>
        <v/>
      </c>
      <c r="C351" s="152"/>
      <c r="D351" s="147" t="str">
        <f t="shared" si="40"/>
        <v/>
      </c>
      <c r="E351" s="152"/>
      <c r="F351" s="147" t="str">
        <f t="shared" si="41"/>
        <v/>
      </c>
      <c r="G351" s="199"/>
      <c r="H351" s="147" t="str">
        <f t="shared" si="42"/>
        <v/>
      </c>
      <c r="I351" s="196"/>
      <c r="J351" s="196"/>
      <c r="K351" s="196"/>
      <c r="M351" s="142" t="str">
        <f t="shared" si="43"/>
        <v/>
      </c>
      <c r="N351" s="142" t="str">
        <f t="shared" si="44"/>
        <v/>
      </c>
    </row>
    <row r="352" spans="1:14">
      <c r="A352" s="146" t="str">
        <f>IF(C352="","",VLOOKUP('Opći dio'!$C$3,'Opći dio'!$L$6:$U$136,10,FALSE))</f>
        <v/>
      </c>
      <c r="B352" s="146" t="str">
        <f>IF(C352="","",VLOOKUP('Opći dio'!$C$3,'Opći dio'!$L$6:$U$136,9,FALSE))</f>
        <v/>
      </c>
      <c r="C352" s="152"/>
      <c r="D352" s="147" t="str">
        <f t="shared" si="40"/>
        <v/>
      </c>
      <c r="E352" s="152"/>
      <c r="F352" s="147" t="str">
        <f t="shared" si="41"/>
        <v/>
      </c>
      <c r="G352" s="199"/>
      <c r="H352" s="147" t="str">
        <f t="shared" si="42"/>
        <v/>
      </c>
      <c r="I352" s="196"/>
      <c r="J352" s="196"/>
      <c r="K352" s="196"/>
      <c r="M352" s="142" t="str">
        <f t="shared" si="43"/>
        <v/>
      </c>
      <c r="N352" s="142" t="str">
        <f t="shared" si="44"/>
        <v/>
      </c>
    </row>
    <row r="353" spans="1:14">
      <c r="A353" s="146" t="str">
        <f>IF(C353="","",VLOOKUP('Opći dio'!$C$3,'Opći dio'!$L$6:$U$136,10,FALSE))</f>
        <v/>
      </c>
      <c r="B353" s="146" t="str">
        <f>IF(C353="","",VLOOKUP('Opći dio'!$C$3,'Opći dio'!$L$6:$U$136,9,FALSE))</f>
        <v/>
      </c>
      <c r="C353" s="152"/>
      <c r="D353" s="147" t="str">
        <f t="shared" si="40"/>
        <v/>
      </c>
      <c r="E353" s="152"/>
      <c r="F353" s="147" t="str">
        <f t="shared" si="41"/>
        <v/>
      </c>
      <c r="G353" s="199"/>
      <c r="H353" s="147" t="str">
        <f t="shared" si="42"/>
        <v/>
      </c>
      <c r="I353" s="196"/>
      <c r="J353" s="196"/>
      <c r="K353" s="196"/>
      <c r="M353" s="142" t="str">
        <f t="shared" si="43"/>
        <v/>
      </c>
      <c r="N353" s="142" t="str">
        <f t="shared" si="44"/>
        <v/>
      </c>
    </row>
    <row r="354" spans="1:14">
      <c r="A354" s="146" t="str">
        <f>IF(C354="","",VLOOKUP('Opći dio'!$C$3,'Opći dio'!$L$6:$U$136,10,FALSE))</f>
        <v/>
      </c>
      <c r="B354" s="146" t="str">
        <f>IF(C354="","",VLOOKUP('Opći dio'!$C$3,'Opći dio'!$L$6:$U$136,9,FALSE))</f>
        <v/>
      </c>
      <c r="C354" s="152"/>
      <c r="D354" s="147" t="str">
        <f t="shared" si="40"/>
        <v/>
      </c>
      <c r="E354" s="152"/>
      <c r="F354" s="147" t="str">
        <f t="shared" si="41"/>
        <v/>
      </c>
      <c r="G354" s="199"/>
      <c r="H354" s="147" t="str">
        <f t="shared" si="42"/>
        <v/>
      </c>
      <c r="I354" s="196"/>
      <c r="J354" s="196"/>
      <c r="K354" s="196"/>
      <c r="M354" s="142" t="str">
        <f t="shared" si="43"/>
        <v/>
      </c>
      <c r="N354" s="142" t="str">
        <f t="shared" si="44"/>
        <v/>
      </c>
    </row>
    <row r="355" spans="1:14">
      <c r="A355" s="146" t="str">
        <f>IF(C355="","",VLOOKUP('Opći dio'!$C$3,'Opći dio'!$L$6:$U$136,10,FALSE))</f>
        <v/>
      </c>
      <c r="B355" s="146" t="str">
        <f>IF(C355="","",VLOOKUP('Opći dio'!$C$3,'Opći dio'!$L$6:$U$136,9,FALSE))</f>
        <v/>
      </c>
      <c r="C355" s="152"/>
      <c r="D355" s="147" t="str">
        <f t="shared" si="40"/>
        <v/>
      </c>
      <c r="E355" s="152"/>
      <c r="F355" s="147" t="str">
        <f t="shared" si="41"/>
        <v/>
      </c>
      <c r="G355" s="199"/>
      <c r="H355" s="147" t="str">
        <f t="shared" si="42"/>
        <v/>
      </c>
      <c r="I355" s="196"/>
      <c r="J355" s="196"/>
      <c r="K355" s="196"/>
      <c r="M355" s="142" t="str">
        <f t="shared" si="43"/>
        <v/>
      </c>
      <c r="N355" s="142" t="str">
        <f t="shared" si="44"/>
        <v/>
      </c>
    </row>
    <row r="356" spans="1:14">
      <c r="A356" s="146" t="str">
        <f>IF(C356="","",VLOOKUP('Opći dio'!$C$3,'Opći dio'!$L$6:$U$136,10,FALSE))</f>
        <v/>
      </c>
      <c r="B356" s="146" t="str">
        <f>IF(C356="","",VLOOKUP('Opći dio'!$C$3,'Opći dio'!$L$6:$U$136,9,FALSE))</f>
        <v/>
      </c>
      <c r="C356" s="152"/>
      <c r="D356" s="147" t="str">
        <f t="shared" si="40"/>
        <v/>
      </c>
      <c r="E356" s="152"/>
      <c r="F356" s="147" t="str">
        <f t="shared" si="41"/>
        <v/>
      </c>
      <c r="G356" s="199"/>
      <c r="H356" s="147" t="str">
        <f t="shared" si="42"/>
        <v/>
      </c>
      <c r="I356" s="196"/>
      <c r="J356" s="196"/>
      <c r="K356" s="196"/>
      <c r="M356" s="142" t="str">
        <f t="shared" si="43"/>
        <v/>
      </c>
      <c r="N356" s="142" t="str">
        <f t="shared" si="44"/>
        <v/>
      </c>
    </row>
    <row r="357" spans="1:14">
      <c r="A357" s="146" t="str">
        <f>IF(C357="","",VLOOKUP('Opći dio'!$C$3,'Opći dio'!$L$6:$U$136,10,FALSE))</f>
        <v/>
      </c>
      <c r="B357" s="146" t="str">
        <f>IF(C357="","",VLOOKUP('Opći dio'!$C$3,'Opći dio'!$L$6:$U$136,9,FALSE))</f>
        <v/>
      </c>
      <c r="C357" s="152"/>
      <c r="D357" s="147" t="str">
        <f t="shared" si="40"/>
        <v/>
      </c>
      <c r="E357" s="152"/>
      <c r="F357" s="147" t="str">
        <f t="shared" si="41"/>
        <v/>
      </c>
      <c r="G357" s="199"/>
      <c r="H357" s="147" t="str">
        <f t="shared" si="42"/>
        <v/>
      </c>
      <c r="I357" s="196"/>
      <c r="J357" s="196"/>
      <c r="K357" s="196"/>
      <c r="M357" s="142" t="str">
        <f t="shared" si="43"/>
        <v/>
      </c>
      <c r="N357" s="142" t="str">
        <f t="shared" si="44"/>
        <v/>
      </c>
    </row>
    <row r="358" spans="1:14">
      <c r="A358" s="146" t="str">
        <f>IF(C358="","",VLOOKUP('Opći dio'!$C$3,'Opći dio'!$L$6:$U$136,10,FALSE))</f>
        <v/>
      </c>
      <c r="B358" s="146" t="str">
        <f>IF(C358="","",VLOOKUP('Opći dio'!$C$3,'Opći dio'!$L$6:$U$136,9,FALSE))</f>
        <v/>
      </c>
      <c r="C358" s="152"/>
      <c r="D358" s="147" t="str">
        <f t="shared" si="40"/>
        <v/>
      </c>
      <c r="E358" s="152"/>
      <c r="F358" s="147" t="str">
        <f t="shared" si="41"/>
        <v/>
      </c>
      <c r="G358" s="199"/>
      <c r="H358" s="147" t="str">
        <f t="shared" si="42"/>
        <v/>
      </c>
      <c r="I358" s="196"/>
      <c r="J358" s="196"/>
      <c r="K358" s="196"/>
      <c r="M358" s="142" t="str">
        <f t="shared" si="43"/>
        <v/>
      </c>
      <c r="N358" s="142" t="str">
        <f t="shared" si="44"/>
        <v/>
      </c>
    </row>
    <row r="359" spans="1:14">
      <c r="A359" s="146" t="str">
        <f>IF(C359="","",VLOOKUP('Opći dio'!$C$3,'Opći dio'!$L$6:$U$136,10,FALSE))</f>
        <v/>
      </c>
      <c r="B359" s="146" t="str">
        <f>IF(C359="","",VLOOKUP('Opći dio'!$C$3,'Opći dio'!$L$6:$U$136,9,FALSE))</f>
        <v/>
      </c>
      <c r="C359" s="152"/>
      <c r="D359" s="147" t="str">
        <f t="shared" si="40"/>
        <v/>
      </c>
      <c r="E359" s="152"/>
      <c r="F359" s="147" t="str">
        <f t="shared" si="41"/>
        <v/>
      </c>
      <c r="G359" s="199"/>
      <c r="H359" s="147" t="str">
        <f t="shared" si="42"/>
        <v/>
      </c>
      <c r="I359" s="196"/>
      <c r="J359" s="196"/>
      <c r="K359" s="196"/>
      <c r="M359" s="142" t="str">
        <f t="shared" si="43"/>
        <v/>
      </c>
      <c r="N359" s="142" t="str">
        <f t="shared" si="44"/>
        <v/>
      </c>
    </row>
    <row r="360" spans="1:14">
      <c r="A360" s="146" t="str">
        <f>IF(C360="","",VLOOKUP('Opći dio'!$C$3,'Opći dio'!$L$6:$U$136,10,FALSE))</f>
        <v/>
      </c>
      <c r="B360" s="146" t="str">
        <f>IF(C360="","",VLOOKUP('Opći dio'!$C$3,'Opći dio'!$L$6:$U$136,9,FALSE))</f>
        <v/>
      </c>
      <c r="C360" s="152"/>
      <c r="D360" s="147" t="str">
        <f t="shared" si="40"/>
        <v/>
      </c>
      <c r="E360" s="152"/>
      <c r="F360" s="147" t="str">
        <f t="shared" si="41"/>
        <v/>
      </c>
      <c r="G360" s="199"/>
      <c r="H360" s="147" t="str">
        <f t="shared" si="42"/>
        <v/>
      </c>
      <c r="I360" s="196"/>
      <c r="J360" s="196"/>
      <c r="K360" s="196"/>
      <c r="M360" s="142" t="str">
        <f t="shared" si="43"/>
        <v/>
      </c>
      <c r="N360" s="142" t="str">
        <f t="shared" si="44"/>
        <v/>
      </c>
    </row>
    <row r="361" spans="1:14">
      <c r="A361" s="146" t="str">
        <f>IF(C361="","",VLOOKUP('Opći dio'!$C$3,'Opći dio'!$L$6:$U$136,10,FALSE))</f>
        <v/>
      </c>
      <c r="B361" s="146" t="str">
        <f>IF(C361="","",VLOOKUP('Opći dio'!$C$3,'Opći dio'!$L$6:$U$136,9,FALSE))</f>
        <v/>
      </c>
      <c r="C361" s="152"/>
      <c r="D361" s="147" t="str">
        <f t="shared" si="40"/>
        <v/>
      </c>
      <c r="E361" s="152"/>
      <c r="F361" s="147" t="str">
        <f t="shared" si="41"/>
        <v/>
      </c>
      <c r="G361" s="199"/>
      <c r="H361" s="147" t="str">
        <f t="shared" si="42"/>
        <v/>
      </c>
      <c r="I361" s="196"/>
      <c r="J361" s="196"/>
      <c r="K361" s="196"/>
      <c r="M361" s="142" t="str">
        <f t="shared" si="43"/>
        <v/>
      </c>
      <c r="N361" s="142" t="str">
        <f t="shared" si="44"/>
        <v/>
      </c>
    </row>
    <row r="362" spans="1:14">
      <c r="A362" s="146" t="str">
        <f>IF(C362="","",VLOOKUP('Opći dio'!$C$3,'Opći dio'!$L$6:$U$136,10,FALSE))</f>
        <v/>
      </c>
      <c r="B362" s="146" t="str">
        <f>IF(C362="","",VLOOKUP('Opći dio'!$C$3,'Opći dio'!$L$6:$U$136,9,FALSE))</f>
        <v/>
      </c>
      <c r="C362" s="152"/>
      <c r="D362" s="147" t="str">
        <f t="shared" si="40"/>
        <v/>
      </c>
      <c r="E362" s="152"/>
      <c r="F362" s="147" t="str">
        <f t="shared" si="41"/>
        <v/>
      </c>
      <c r="G362" s="199"/>
      <c r="H362" s="147" t="str">
        <f t="shared" si="42"/>
        <v/>
      </c>
      <c r="I362" s="196"/>
      <c r="J362" s="196"/>
      <c r="K362" s="196"/>
      <c r="M362" s="142" t="str">
        <f t="shared" si="43"/>
        <v/>
      </c>
      <c r="N362" s="142" t="str">
        <f t="shared" si="44"/>
        <v/>
      </c>
    </row>
    <row r="363" spans="1:14">
      <c r="A363" s="146" t="str">
        <f>IF(C363="","",VLOOKUP('Opći dio'!$C$3,'Opći dio'!$L$6:$U$136,10,FALSE))</f>
        <v/>
      </c>
      <c r="B363" s="146" t="str">
        <f>IF(C363="","",VLOOKUP('Opći dio'!$C$3,'Opći dio'!$L$6:$U$136,9,FALSE))</f>
        <v/>
      </c>
      <c r="C363" s="152"/>
      <c r="D363" s="147" t="str">
        <f t="shared" si="40"/>
        <v/>
      </c>
      <c r="E363" s="152"/>
      <c r="F363" s="147" t="str">
        <f t="shared" si="41"/>
        <v/>
      </c>
      <c r="G363" s="199"/>
      <c r="H363" s="147" t="str">
        <f t="shared" si="42"/>
        <v/>
      </c>
      <c r="I363" s="196"/>
      <c r="J363" s="196"/>
      <c r="K363" s="196"/>
      <c r="M363" s="142" t="str">
        <f t="shared" si="43"/>
        <v/>
      </c>
      <c r="N363" s="142" t="str">
        <f t="shared" si="44"/>
        <v/>
      </c>
    </row>
    <row r="364" spans="1:14">
      <c r="A364" s="146" t="str">
        <f>IF(C364="","",VLOOKUP('Opći dio'!$C$3,'Opći dio'!$L$6:$U$136,10,FALSE))</f>
        <v/>
      </c>
      <c r="B364" s="146" t="str">
        <f>IF(C364="","",VLOOKUP('Opći dio'!$C$3,'Opći dio'!$L$6:$U$136,9,FALSE))</f>
        <v/>
      </c>
      <c r="C364" s="152"/>
      <c r="D364" s="147" t="str">
        <f t="shared" si="40"/>
        <v/>
      </c>
      <c r="E364" s="152"/>
      <c r="F364" s="147" t="str">
        <f t="shared" si="41"/>
        <v/>
      </c>
      <c r="G364" s="199"/>
      <c r="H364" s="147" t="str">
        <f t="shared" si="42"/>
        <v/>
      </c>
      <c r="I364" s="196"/>
      <c r="J364" s="196"/>
      <c r="K364" s="196"/>
      <c r="M364" s="142" t="str">
        <f t="shared" si="43"/>
        <v/>
      </c>
      <c r="N364" s="142" t="str">
        <f t="shared" si="44"/>
        <v/>
      </c>
    </row>
    <row r="365" spans="1:14">
      <c r="A365" s="146" t="str">
        <f>IF(C365="","",VLOOKUP('Opći dio'!$C$3,'Opći dio'!$L$6:$U$136,10,FALSE))</f>
        <v/>
      </c>
      <c r="B365" s="146" t="str">
        <f>IF(C365="","",VLOOKUP('Opći dio'!$C$3,'Opći dio'!$L$6:$U$136,9,FALSE))</f>
        <v/>
      </c>
      <c r="C365" s="152"/>
      <c r="D365" s="147" t="str">
        <f t="shared" si="40"/>
        <v/>
      </c>
      <c r="E365" s="152"/>
      <c r="F365" s="147" t="str">
        <f t="shared" si="41"/>
        <v/>
      </c>
      <c r="G365" s="199"/>
      <c r="H365" s="147" t="str">
        <f t="shared" si="42"/>
        <v/>
      </c>
      <c r="I365" s="196"/>
      <c r="J365" s="196"/>
      <c r="K365" s="196"/>
      <c r="M365" s="142" t="str">
        <f t="shared" si="43"/>
        <v/>
      </c>
      <c r="N365" s="142" t="str">
        <f t="shared" si="44"/>
        <v/>
      </c>
    </row>
    <row r="366" spans="1:14">
      <c r="A366" s="146" t="str">
        <f>IF(C366="","",VLOOKUP('Opći dio'!$C$3,'Opći dio'!$L$6:$U$136,10,FALSE))</f>
        <v/>
      </c>
      <c r="B366" s="146" t="str">
        <f>IF(C366="","",VLOOKUP('Opći dio'!$C$3,'Opći dio'!$L$6:$U$136,9,FALSE))</f>
        <v/>
      </c>
      <c r="C366" s="152"/>
      <c r="D366" s="147" t="str">
        <f t="shared" si="40"/>
        <v/>
      </c>
      <c r="E366" s="152"/>
      <c r="F366" s="147" t="str">
        <f t="shared" si="41"/>
        <v/>
      </c>
      <c r="G366" s="199"/>
      <c r="H366" s="147" t="str">
        <f t="shared" si="42"/>
        <v/>
      </c>
      <c r="I366" s="196"/>
      <c r="J366" s="196"/>
      <c r="K366" s="196"/>
      <c r="M366" s="142" t="str">
        <f t="shared" si="43"/>
        <v/>
      </c>
      <c r="N366" s="142" t="str">
        <f t="shared" si="44"/>
        <v/>
      </c>
    </row>
    <row r="367" spans="1:14">
      <c r="A367" s="146" t="str">
        <f>IF(C367="","",VLOOKUP('Opći dio'!$C$3,'Opći dio'!$L$6:$U$136,10,FALSE))</f>
        <v/>
      </c>
      <c r="B367" s="146" t="str">
        <f>IF(C367="","",VLOOKUP('Opći dio'!$C$3,'Opći dio'!$L$6:$U$136,9,FALSE))</f>
        <v/>
      </c>
      <c r="C367" s="152"/>
      <c r="D367" s="147" t="str">
        <f t="shared" si="40"/>
        <v/>
      </c>
      <c r="E367" s="152"/>
      <c r="F367" s="147" t="str">
        <f t="shared" si="41"/>
        <v/>
      </c>
      <c r="G367" s="199"/>
      <c r="H367" s="147" t="str">
        <f t="shared" si="42"/>
        <v/>
      </c>
      <c r="I367" s="196"/>
      <c r="J367" s="196"/>
      <c r="K367" s="196"/>
      <c r="M367" s="142" t="str">
        <f t="shared" si="43"/>
        <v/>
      </c>
      <c r="N367" s="142" t="str">
        <f t="shared" si="44"/>
        <v/>
      </c>
    </row>
    <row r="368" spans="1:14">
      <c r="A368" s="146" t="str">
        <f>IF(C368="","",VLOOKUP('Opći dio'!$C$3,'Opći dio'!$L$6:$U$136,10,FALSE))</f>
        <v/>
      </c>
      <c r="B368" s="146" t="str">
        <f>IF(C368="","",VLOOKUP('Opći dio'!$C$3,'Opći dio'!$L$6:$U$136,9,FALSE))</f>
        <v/>
      </c>
      <c r="C368" s="152"/>
      <c r="D368" s="147" t="str">
        <f t="shared" si="40"/>
        <v/>
      </c>
      <c r="E368" s="152"/>
      <c r="F368" s="147" t="str">
        <f t="shared" si="41"/>
        <v/>
      </c>
      <c r="G368" s="199"/>
      <c r="H368" s="147" t="str">
        <f t="shared" si="42"/>
        <v/>
      </c>
      <c r="I368" s="196"/>
      <c r="J368" s="196"/>
      <c r="K368" s="196"/>
      <c r="M368" s="142" t="str">
        <f t="shared" si="43"/>
        <v/>
      </c>
      <c r="N368" s="142" t="str">
        <f t="shared" si="44"/>
        <v/>
      </c>
    </row>
    <row r="369" spans="1:14">
      <c r="A369" s="146" t="str">
        <f>IF(C369="","",VLOOKUP('Opći dio'!$C$3,'Opći dio'!$L$6:$U$136,10,FALSE))</f>
        <v/>
      </c>
      <c r="B369" s="146" t="str">
        <f>IF(C369="","",VLOOKUP('Opći dio'!$C$3,'Opći dio'!$L$6:$U$136,9,FALSE))</f>
        <v/>
      </c>
      <c r="C369" s="152"/>
      <c r="D369" s="147" t="str">
        <f t="shared" si="40"/>
        <v/>
      </c>
      <c r="E369" s="152"/>
      <c r="F369" s="147" t="str">
        <f t="shared" si="41"/>
        <v/>
      </c>
      <c r="G369" s="199"/>
      <c r="H369" s="147" t="str">
        <f t="shared" si="42"/>
        <v/>
      </c>
      <c r="I369" s="196"/>
      <c r="J369" s="196"/>
      <c r="K369" s="196"/>
      <c r="M369" s="142" t="str">
        <f t="shared" si="43"/>
        <v/>
      </c>
      <c r="N369" s="142" t="str">
        <f t="shared" si="44"/>
        <v/>
      </c>
    </row>
    <row r="370" spans="1:14">
      <c r="A370" s="146" t="str">
        <f>IF(C370="","",VLOOKUP('Opći dio'!$C$3,'Opći dio'!$L$6:$U$136,10,FALSE))</f>
        <v/>
      </c>
      <c r="B370" s="146" t="str">
        <f>IF(C370="","",VLOOKUP('Opći dio'!$C$3,'Opći dio'!$L$6:$U$136,9,FALSE))</f>
        <v/>
      </c>
      <c r="C370" s="152"/>
      <c r="D370" s="147" t="str">
        <f t="shared" si="40"/>
        <v/>
      </c>
      <c r="E370" s="152"/>
      <c r="F370" s="147" t="str">
        <f t="shared" si="41"/>
        <v/>
      </c>
      <c r="G370" s="199"/>
      <c r="H370" s="147" t="str">
        <f t="shared" si="42"/>
        <v/>
      </c>
      <c r="I370" s="196"/>
      <c r="J370" s="196"/>
      <c r="K370" s="196"/>
      <c r="M370" s="142" t="str">
        <f t="shared" si="43"/>
        <v/>
      </c>
      <c r="N370" s="142" t="str">
        <f t="shared" si="44"/>
        <v/>
      </c>
    </row>
    <row r="371" spans="1:14">
      <c r="A371" s="146" t="str">
        <f>IF(C371="","",VLOOKUP('Opći dio'!$C$3,'Opći dio'!$L$6:$U$136,10,FALSE))</f>
        <v/>
      </c>
      <c r="B371" s="146" t="str">
        <f>IF(C371="","",VLOOKUP('Opći dio'!$C$3,'Opći dio'!$L$6:$U$136,9,FALSE))</f>
        <v/>
      </c>
      <c r="C371" s="152"/>
      <c r="D371" s="147" t="str">
        <f t="shared" si="40"/>
        <v/>
      </c>
      <c r="E371" s="152"/>
      <c r="F371" s="147" t="str">
        <f t="shared" si="41"/>
        <v/>
      </c>
      <c r="G371" s="199"/>
      <c r="H371" s="147" t="str">
        <f t="shared" si="42"/>
        <v/>
      </c>
      <c r="I371" s="196"/>
      <c r="J371" s="196"/>
      <c r="K371" s="196"/>
      <c r="M371" s="142" t="str">
        <f t="shared" si="43"/>
        <v/>
      </c>
      <c r="N371" s="142" t="str">
        <f t="shared" si="44"/>
        <v/>
      </c>
    </row>
    <row r="372" spans="1:14">
      <c r="A372" s="146" t="str">
        <f>IF(C372="","",VLOOKUP('Opći dio'!$C$3,'Opći dio'!$L$6:$U$136,10,FALSE))</f>
        <v/>
      </c>
      <c r="B372" s="146" t="str">
        <f>IF(C372="","",VLOOKUP('Opći dio'!$C$3,'Opći dio'!$L$6:$U$136,9,FALSE))</f>
        <v/>
      </c>
      <c r="C372" s="152"/>
      <c r="D372" s="147" t="str">
        <f t="shared" si="40"/>
        <v/>
      </c>
      <c r="E372" s="152"/>
      <c r="F372" s="147" t="str">
        <f t="shared" si="41"/>
        <v/>
      </c>
      <c r="G372" s="199"/>
      <c r="H372" s="147" t="str">
        <f t="shared" si="42"/>
        <v/>
      </c>
      <c r="I372" s="196"/>
      <c r="J372" s="196"/>
      <c r="K372" s="196"/>
      <c r="M372" s="142" t="str">
        <f t="shared" si="43"/>
        <v/>
      </c>
      <c r="N372" s="142" t="str">
        <f t="shared" si="44"/>
        <v/>
      </c>
    </row>
    <row r="373" spans="1:14">
      <c r="A373" s="146" t="str">
        <f>IF(C373="","",VLOOKUP('Opći dio'!$C$3,'Opći dio'!$L$6:$U$136,10,FALSE))</f>
        <v/>
      </c>
      <c r="B373" s="146" t="str">
        <f>IF(C373="","",VLOOKUP('Opći dio'!$C$3,'Opći dio'!$L$6:$U$136,9,FALSE))</f>
        <v/>
      </c>
      <c r="C373" s="152"/>
      <c r="D373" s="147" t="str">
        <f t="shared" si="40"/>
        <v/>
      </c>
      <c r="E373" s="152"/>
      <c r="F373" s="147" t="str">
        <f t="shared" si="41"/>
        <v/>
      </c>
      <c r="G373" s="199"/>
      <c r="H373" s="147" t="str">
        <f t="shared" si="42"/>
        <v/>
      </c>
      <c r="I373" s="196"/>
      <c r="J373" s="196"/>
      <c r="K373" s="196"/>
      <c r="M373" s="142" t="str">
        <f t="shared" si="43"/>
        <v/>
      </c>
      <c r="N373" s="142" t="str">
        <f t="shared" si="44"/>
        <v/>
      </c>
    </row>
    <row r="374" spans="1:14">
      <c r="A374" s="146" t="str">
        <f>IF(C374="","",VLOOKUP('Opći dio'!$C$3,'Opći dio'!$L$6:$U$136,10,FALSE))</f>
        <v/>
      </c>
      <c r="B374" s="146" t="str">
        <f>IF(C374="","",VLOOKUP('Opći dio'!$C$3,'Opći dio'!$L$6:$U$136,9,FALSE))</f>
        <v/>
      </c>
      <c r="C374" s="152"/>
      <c r="D374" s="147" t="str">
        <f t="shared" si="40"/>
        <v/>
      </c>
      <c r="E374" s="152"/>
      <c r="F374" s="147" t="str">
        <f t="shared" si="41"/>
        <v/>
      </c>
      <c r="G374" s="199"/>
      <c r="H374" s="147" t="str">
        <f t="shared" si="42"/>
        <v/>
      </c>
      <c r="I374" s="196"/>
      <c r="J374" s="196"/>
      <c r="K374" s="196"/>
      <c r="M374" s="142" t="str">
        <f t="shared" si="43"/>
        <v/>
      </c>
      <c r="N374" s="142" t="str">
        <f t="shared" si="44"/>
        <v/>
      </c>
    </row>
    <row r="375" spans="1:14">
      <c r="A375" s="146" t="str">
        <f>IF(C375="","",VLOOKUP('Opći dio'!$C$3,'Opći dio'!$L$6:$U$136,10,FALSE))</f>
        <v/>
      </c>
      <c r="B375" s="146" t="str">
        <f>IF(C375="","",VLOOKUP('Opći dio'!$C$3,'Opći dio'!$L$6:$U$136,9,FALSE))</f>
        <v/>
      </c>
      <c r="C375" s="152"/>
      <c r="D375" s="147" t="str">
        <f t="shared" si="40"/>
        <v/>
      </c>
      <c r="E375" s="152"/>
      <c r="F375" s="147" t="str">
        <f t="shared" si="41"/>
        <v/>
      </c>
      <c r="G375" s="199"/>
      <c r="H375" s="147" t="str">
        <f t="shared" si="42"/>
        <v/>
      </c>
      <c r="I375" s="196"/>
      <c r="J375" s="196"/>
      <c r="K375" s="196"/>
      <c r="M375" s="142" t="str">
        <f t="shared" si="43"/>
        <v/>
      </c>
      <c r="N375" s="142" t="str">
        <f t="shared" si="44"/>
        <v/>
      </c>
    </row>
    <row r="376" spans="1:14">
      <c r="A376" s="146" t="str">
        <f>IF(C376="","",VLOOKUP('Opći dio'!$C$3,'Opći dio'!$L$6:$U$136,10,FALSE))</f>
        <v/>
      </c>
      <c r="B376" s="146" t="str">
        <f>IF(C376="","",VLOOKUP('Opći dio'!$C$3,'Opći dio'!$L$6:$U$136,9,FALSE))</f>
        <v/>
      </c>
      <c r="C376" s="152"/>
      <c r="D376" s="147" t="str">
        <f t="shared" si="40"/>
        <v/>
      </c>
      <c r="E376" s="152"/>
      <c r="F376" s="147" t="str">
        <f t="shared" si="41"/>
        <v/>
      </c>
      <c r="G376" s="199"/>
      <c r="H376" s="147" t="str">
        <f t="shared" si="42"/>
        <v/>
      </c>
      <c r="I376" s="196"/>
      <c r="J376" s="196"/>
      <c r="K376" s="196"/>
      <c r="M376" s="142" t="str">
        <f t="shared" si="43"/>
        <v/>
      </c>
      <c r="N376" s="142" t="str">
        <f t="shared" si="44"/>
        <v/>
      </c>
    </row>
    <row r="377" spans="1:14">
      <c r="A377" s="146" t="str">
        <f>IF(C377="","",VLOOKUP('Opći dio'!$C$3,'Opći dio'!$L$6:$U$136,10,FALSE))</f>
        <v/>
      </c>
      <c r="B377" s="146" t="str">
        <f>IF(C377="","",VLOOKUP('Opći dio'!$C$3,'Opći dio'!$L$6:$U$136,9,FALSE))</f>
        <v/>
      </c>
      <c r="C377" s="152"/>
      <c r="D377" s="147" t="str">
        <f t="shared" si="40"/>
        <v/>
      </c>
      <c r="E377" s="152"/>
      <c r="F377" s="147" t="str">
        <f t="shared" si="41"/>
        <v/>
      </c>
      <c r="G377" s="199"/>
      <c r="H377" s="147" t="str">
        <f t="shared" si="42"/>
        <v/>
      </c>
      <c r="I377" s="196"/>
      <c r="J377" s="196"/>
      <c r="K377" s="196"/>
      <c r="M377" s="142" t="str">
        <f t="shared" si="43"/>
        <v/>
      </c>
      <c r="N377" s="142" t="str">
        <f t="shared" si="44"/>
        <v/>
      </c>
    </row>
    <row r="378" spans="1:14">
      <c r="A378" s="146" t="str">
        <f>IF(C378="","",VLOOKUP('Opći dio'!$C$3,'Opći dio'!$L$6:$U$136,10,FALSE))</f>
        <v/>
      </c>
      <c r="B378" s="146" t="str">
        <f>IF(C378="","",VLOOKUP('Opći dio'!$C$3,'Opći dio'!$L$6:$U$136,9,FALSE))</f>
        <v/>
      </c>
      <c r="C378" s="152"/>
      <c r="D378" s="147" t="str">
        <f t="shared" si="40"/>
        <v/>
      </c>
      <c r="E378" s="152"/>
      <c r="F378" s="147" t="str">
        <f t="shared" si="41"/>
        <v/>
      </c>
      <c r="G378" s="199"/>
      <c r="H378" s="147" t="str">
        <f t="shared" si="42"/>
        <v/>
      </c>
      <c r="I378" s="196"/>
      <c r="J378" s="196"/>
      <c r="K378" s="196"/>
      <c r="M378" s="142" t="str">
        <f t="shared" si="43"/>
        <v/>
      </c>
      <c r="N378" s="142" t="str">
        <f t="shared" si="44"/>
        <v/>
      </c>
    </row>
    <row r="379" spans="1:14">
      <c r="A379" s="146" t="str">
        <f>IF(C379="","",VLOOKUP('Opći dio'!$C$3,'Opći dio'!$L$6:$U$136,10,FALSE))</f>
        <v/>
      </c>
      <c r="B379" s="146" t="str">
        <f>IF(C379="","",VLOOKUP('Opći dio'!$C$3,'Opći dio'!$L$6:$U$136,9,FALSE))</f>
        <v/>
      </c>
      <c r="C379" s="152"/>
      <c r="D379" s="147" t="str">
        <f t="shared" si="40"/>
        <v/>
      </c>
      <c r="E379" s="152"/>
      <c r="F379" s="147" t="str">
        <f t="shared" si="41"/>
        <v/>
      </c>
      <c r="G379" s="199"/>
      <c r="H379" s="147" t="str">
        <f t="shared" si="42"/>
        <v/>
      </c>
      <c r="I379" s="196"/>
      <c r="J379" s="196"/>
      <c r="K379" s="196"/>
      <c r="M379" s="142" t="str">
        <f t="shared" si="43"/>
        <v/>
      </c>
      <c r="N379" s="142" t="str">
        <f t="shared" si="44"/>
        <v/>
      </c>
    </row>
    <row r="380" spans="1:14">
      <c r="A380" s="146" t="str">
        <f>IF(C380="","",VLOOKUP('Opći dio'!$C$3,'Opći dio'!$L$6:$U$136,10,FALSE))</f>
        <v/>
      </c>
      <c r="B380" s="146" t="str">
        <f>IF(C380="","",VLOOKUP('Opći dio'!$C$3,'Opći dio'!$L$6:$U$136,9,FALSE))</f>
        <v/>
      </c>
      <c r="C380" s="152"/>
      <c r="D380" s="147" t="str">
        <f t="shared" si="40"/>
        <v/>
      </c>
      <c r="E380" s="152"/>
      <c r="F380" s="147" t="str">
        <f t="shared" si="41"/>
        <v/>
      </c>
      <c r="G380" s="199"/>
      <c r="H380" s="147" t="str">
        <f t="shared" si="42"/>
        <v/>
      </c>
      <c r="I380" s="196"/>
      <c r="J380" s="196"/>
      <c r="K380" s="196"/>
      <c r="M380" s="142" t="str">
        <f t="shared" si="43"/>
        <v/>
      </c>
      <c r="N380" s="142" t="str">
        <f t="shared" si="44"/>
        <v/>
      </c>
    </row>
    <row r="381" spans="1:14">
      <c r="A381" s="146" t="str">
        <f>IF(C381="","",VLOOKUP('Opći dio'!$C$3,'Opći dio'!$L$6:$U$136,10,FALSE))</f>
        <v/>
      </c>
      <c r="B381" s="146" t="str">
        <f>IF(C381="","",VLOOKUP('Opći dio'!$C$3,'Opći dio'!$L$6:$U$136,9,FALSE))</f>
        <v/>
      </c>
      <c r="C381" s="152"/>
      <c r="D381" s="147" t="str">
        <f t="shared" si="40"/>
        <v/>
      </c>
      <c r="E381" s="152"/>
      <c r="F381" s="147" t="str">
        <f t="shared" si="41"/>
        <v/>
      </c>
      <c r="G381" s="199"/>
      <c r="H381" s="147" t="str">
        <f t="shared" si="42"/>
        <v/>
      </c>
      <c r="I381" s="196"/>
      <c r="J381" s="196"/>
      <c r="K381" s="196"/>
      <c r="M381" s="142" t="str">
        <f t="shared" si="43"/>
        <v/>
      </c>
      <c r="N381" s="142" t="str">
        <f t="shared" si="44"/>
        <v/>
      </c>
    </row>
    <row r="382" spans="1:14">
      <c r="A382" s="146" t="str">
        <f>IF(C382="","",VLOOKUP('Opći dio'!$C$3,'Opći dio'!$L$6:$U$136,10,FALSE))</f>
        <v/>
      </c>
      <c r="B382" s="146" t="str">
        <f>IF(C382="","",VLOOKUP('Opći dio'!$C$3,'Opći dio'!$L$6:$U$136,9,FALSE))</f>
        <v/>
      </c>
      <c r="C382" s="152"/>
      <c r="D382" s="147" t="str">
        <f t="shared" si="40"/>
        <v/>
      </c>
      <c r="E382" s="152"/>
      <c r="F382" s="147" t="str">
        <f t="shared" si="41"/>
        <v/>
      </c>
      <c r="G382" s="199"/>
      <c r="H382" s="147" t="str">
        <f t="shared" si="42"/>
        <v/>
      </c>
      <c r="I382" s="196"/>
      <c r="J382" s="196"/>
      <c r="K382" s="196"/>
      <c r="M382" s="142" t="str">
        <f t="shared" si="43"/>
        <v/>
      </c>
      <c r="N382" s="142" t="str">
        <f t="shared" si="44"/>
        <v/>
      </c>
    </row>
    <row r="383" spans="1:14">
      <c r="A383" s="146" t="str">
        <f>IF(C383="","",VLOOKUP('Opći dio'!$C$3,'Opći dio'!$L$6:$U$136,10,FALSE))</f>
        <v/>
      </c>
      <c r="B383" s="146" t="str">
        <f>IF(C383="","",VLOOKUP('Opći dio'!$C$3,'Opći dio'!$L$6:$U$136,9,FALSE))</f>
        <v/>
      </c>
      <c r="C383" s="152"/>
      <c r="D383" s="147" t="str">
        <f t="shared" si="40"/>
        <v/>
      </c>
      <c r="E383" s="152"/>
      <c r="F383" s="147" t="str">
        <f t="shared" si="41"/>
        <v/>
      </c>
      <c r="G383" s="199"/>
      <c r="H383" s="147" t="str">
        <f t="shared" si="42"/>
        <v/>
      </c>
      <c r="I383" s="196"/>
      <c r="J383" s="196"/>
      <c r="K383" s="196"/>
      <c r="M383" s="142" t="str">
        <f t="shared" si="43"/>
        <v/>
      </c>
      <c r="N383" s="142" t="str">
        <f t="shared" si="44"/>
        <v/>
      </c>
    </row>
    <row r="384" spans="1:14">
      <c r="A384" s="146" t="str">
        <f>IF(C384="","",VLOOKUP('Opći dio'!$C$3,'Opći dio'!$L$6:$U$136,10,FALSE))</f>
        <v/>
      </c>
      <c r="B384" s="146" t="str">
        <f>IF(C384="","",VLOOKUP('Opći dio'!$C$3,'Opći dio'!$L$6:$U$136,9,FALSE))</f>
        <v/>
      </c>
      <c r="C384" s="152"/>
      <c r="D384" s="147" t="str">
        <f t="shared" si="40"/>
        <v/>
      </c>
      <c r="E384" s="152"/>
      <c r="F384" s="147" t="str">
        <f t="shared" si="41"/>
        <v/>
      </c>
      <c r="G384" s="199"/>
      <c r="H384" s="147" t="str">
        <f t="shared" si="42"/>
        <v/>
      </c>
      <c r="I384" s="196"/>
      <c r="J384" s="196"/>
      <c r="K384" s="196"/>
      <c r="M384" s="142" t="str">
        <f t="shared" si="43"/>
        <v/>
      </c>
      <c r="N384" s="142" t="str">
        <f t="shared" si="44"/>
        <v/>
      </c>
    </row>
    <row r="385" spans="1:14">
      <c r="A385" s="146" t="str">
        <f>IF(C385="","",VLOOKUP('Opći dio'!$C$3,'Opći dio'!$L$6:$U$136,10,FALSE))</f>
        <v/>
      </c>
      <c r="B385" s="146" t="str">
        <f>IF(C385="","",VLOOKUP('Opći dio'!$C$3,'Opći dio'!$L$6:$U$136,9,FALSE))</f>
        <v/>
      </c>
      <c r="C385" s="152"/>
      <c r="D385" s="147" t="str">
        <f t="shared" si="40"/>
        <v/>
      </c>
      <c r="E385" s="152"/>
      <c r="F385" s="147" t="str">
        <f t="shared" si="41"/>
        <v/>
      </c>
      <c r="G385" s="199"/>
      <c r="H385" s="147" t="str">
        <f t="shared" si="42"/>
        <v/>
      </c>
      <c r="I385" s="196"/>
      <c r="J385" s="196"/>
      <c r="K385" s="196"/>
      <c r="M385" s="142" t="str">
        <f t="shared" si="43"/>
        <v/>
      </c>
      <c r="N385" s="142" t="str">
        <f t="shared" si="44"/>
        <v/>
      </c>
    </row>
    <row r="386" spans="1:14">
      <c r="A386" s="146" t="str">
        <f>IF(C386="","",VLOOKUP('Opći dio'!$C$3,'Opći dio'!$L$6:$U$136,10,FALSE))</f>
        <v/>
      </c>
      <c r="B386" s="146" t="str">
        <f>IF(C386="","",VLOOKUP('Opći dio'!$C$3,'Opći dio'!$L$6:$U$136,9,FALSE))</f>
        <v/>
      </c>
      <c r="C386" s="152"/>
      <c r="D386" s="147" t="str">
        <f t="shared" si="40"/>
        <v/>
      </c>
      <c r="E386" s="152"/>
      <c r="F386" s="147" t="str">
        <f t="shared" si="41"/>
        <v/>
      </c>
      <c r="G386" s="199"/>
      <c r="H386" s="147" t="str">
        <f t="shared" si="42"/>
        <v/>
      </c>
      <c r="I386" s="196"/>
      <c r="J386" s="196"/>
      <c r="K386" s="196"/>
      <c r="M386" s="142" t="str">
        <f t="shared" si="43"/>
        <v/>
      </c>
      <c r="N386" s="142" t="str">
        <f t="shared" si="44"/>
        <v/>
      </c>
    </row>
    <row r="387" spans="1:14">
      <c r="A387" s="146" t="str">
        <f>IF(C387="","",VLOOKUP('Opći dio'!$C$3,'Opći dio'!$L$6:$U$136,10,FALSE))</f>
        <v/>
      </c>
      <c r="B387" s="146" t="str">
        <f>IF(C387="","",VLOOKUP('Opći dio'!$C$3,'Opći dio'!$L$6:$U$136,9,FALSE))</f>
        <v/>
      </c>
      <c r="C387" s="152"/>
      <c r="D387" s="147" t="str">
        <f t="shared" si="40"/>
        <v/>
      </c>
      <c r="E387" s="152"/>
      <c r="F387" s="147" t="str">
        <f t="shared" si="41"/>
        <v/>
      </c>
      <c r="G387" s="199"/>
      <c r="H387" s="147" t="str">
        <f t="shared" si="42"/>
        <v/>
      </c>
      <c r="I387" s="196"/>
      <c r="J387" s="196"/>
      <c r="K387" s="196"/>
      <c r="M387" s="142" t="str">
        <f t="shared" si="43"/>
        <v/>
      </c>
      <c r="N387" s="142" t="str">
        <f t="shared" si="44"/>
        <v/>
      </c>
    </row>
    <row r="388" spans="1:14">
      <c r="A388" s="146" t="str">
        <f>IF(C388="","",VLOOKUP('Opći dio'!$C$3,'Opći dio'!$L$6:$U$136,10,FALSE))</f>
        <v/>
      </c>
      <c r="B388" s="146" t="str">
        <f>IF(C388="","",VLOOKUP('Opći dio'!$C$3,'Opći dio'!$L$6:$U$136,9,FALSE))</f>
        <v/>
      </c>
      <c r="C388" s="152"/>
      <c r="D388" s="147" t="str">
        <f t="shared" ref="D388:D451" si="45">IFERROR(VLOOKUP(C388,$O$6:$P$22,2,FALSE),"")</f>
        <v/>
      </c>
      <c r="E388" s="152"/>
      <c r="F388" s="147" t="str">
        <f t="shared" ref="F388:F451" si="46">IFERROR(VLOOKUP(E388,$R$5:$T$129,2,FALSE),"")</f>
        <v/>
      </c>
      <c r="G388" s="199"/>
      <c r="H388" s="147" t="str">
        <f t="shared" ref="H388:H451" si="47">IFERROR(VLOOKUP(G388,$X$6:$Y$171,2,FALSE),"")</f>
        <v/>
      </c>
      <c r="I388" s="196"/>
      <c r="J388" s="196"/>
      <c r="K388" s="196"/>
      <c r="M388" s="142" t="str">
        <f t="shared" ref="M388:M451" si="48">LEFT(E388,3)</f>
        <v/>
      </c>
      <c r="N388" s="142" t="str">
        <f t="shared" ref="N388:N451" si="49">LEFT(E388,2)</f>
        <v/>
      </c>
    </row>
    <row r="389" spans="1:14">
      <c r="A389" s="146" t="str">
        <f>IF(C389="","",VLOOKUP('Opći dio'!$C$3,'Opći dio'!$L$6:$U$136,10,FALSE))</f>
        <v/>
      </c>
      <c r="B389" s="146" t="str">
        <f>IF(C389="","",VLOOKUP('Opći dio'!$C$3,'Opći dio'!$L$6:$U$136,9,FALSE))</f>
        <v/>
      </c>
      <c r="C389" s="152"/>
      <c r="D389" s="147" t="str">
        <f t="shared" si="45"/>
        <v/>
      </c>
      <c r="E389" s="152"/>
      <c r="F389" s="147" t="str">
        <f t="shared" si="46"/>
        <v/>
      </c>
      <c r="G389" s="199"/>
      <c r="H389" s="147" t="str">
        <f t="shared" si="47"/>
        <v/>
      </c>
      <c r="I389" s="196"/>
      <c r="J389" s="196"/>
      <c r="K389" s="196"/>
      <c r="M389" s="142" t="str">
        <f t="shared" si="48"/>
        <v/>
      </c>
      <c r="N389" s="142" t="str">
        <f t="shared" si="49"/>
        <v/>
      </c>
    </row>
    <row r="390" spans="1:14">
      <c r="A390" s="146" t="str">
        <f>IF(C390="","",VLOOKUP('Opći dio'!$C$3,'Opći dio'!$L$6:$U$136,10,FALSE))</f>
        <v/>
      </c>
      <c r="B390" s="146" t="str">
        <f>IF(C390="","",VLOOKUP('Opći dio'!$C$3,'Opći dio'!$L$6:$U$136,9,FALSE))</f>
        <v/>
      </c>
      <c r="C390" s="152"/>
      <c r="D390" s="147" t="str">
        <f t="shared" si="45"/>
        <v/>
      </c>
      <c r="E390" s="152"/>
      <c r="F390" s="147" t="str">
        <f t="shared" si="46"/>
        <v/>
      </c>
      <c r="G390" s="199"/>
      <c r="H390" s="147" t="str">
        <f t="shared" si="47"/>
        <v/>
      </c>
      <c r="I390" s="196"/>
      <c r="J390" s="196"/>
      <c r="K390" s="196"/>
      <c r="M390" s="142" t="str">
        <f t="shared" si="48"/>
        <v/>
      </c>
      <c r="N390" s="142" t="str">
        <f t="shared" si="49"/>
        <v/>
      </c>
    </row>
    <row r="391" spans="1:14">
      <c r="A391" s="146" t="str">
        <f>IF(C391="","",VLOOKUP('Opći dio'!$C$3,'Opći dio'!$L$6:$U$136,10,FALSE))</f>
        <v/>
      </c>
      <c r="B391" s="146" t="str">
        <f>IF(C391="","",VLOOKUP('Opći dio'!$C$3,'Opći dio'!$L$6:$U$136,9,FALSE))</f>
        <v/>
      </c>
      <c r="C391" s="152"/>
      <c r="D391" s="147" t="str">
        <f t="shared" si="45"/>
        <v/>
      </c>
      <c r="E391" s="152"/>
      <c r="F391" s="147" t="str">
        <f t="shared" si="46"/>
        <v/>
      </c>
      <c r="G391" s="199"/>
      <c r="H391" s="147" t="str">
        <f t="shared" si="47"/>
        <v/>
      </c>
      <c r="I391" s="196"/>
      <c r="J391" s="196"/>
      <c r="K391" s="196"/>
      <c r="M391" s="142" t="str">
        <f t="shared" si="48"/>
        <v/>
      </c>
      <c r="N391" s="142" t="str">
        <f t="shared" si="49"/>
        <v/>
      </c>
    </row>
    <row r="392" spans="1:14">
      <c r="A392" s="146" t="str">
        <f>IF(C392="","",VLOOKUP('Opći dio'!$C$3,'Opći dio'!$L$6:$U$136,10,FALSE))</f>
        <v/>
      </c>
      <c r="B392" s="146" t="str">
        <f>IF(C392="","",VLOOKUP('Opći dio'!$C$3,'Opći dio'!$L$6:$U$136,9,FALSE))</f>
        <v/>
      </c>
      <c r="C392" s="152"/>
      <c r="D392" s="147" t="str">
        <f t="shared" si="45"/>
        <v/>
      </c>
      <c r="E392" s="152"/>
      <c r="F392" s="147" t="str">
        <f t="shared" si="46"/>
        <v/>
      </c>
      <c r="G392" s="199"/>
      <c r="H392" s="147" t="str">
        <f t="shared" si="47"/>
        <v/>
      </c>
      <c r="I392" s="196"/>
      <c r="J392" s="196"/>
      <c r="K392" s="196"/>
      <c r="M392" s="142" t="str">
        <f t="shared" si="48"/>
        <v/>
      </c>
      <c r="N392" s="142" t="str">
        <f t="shared" si="49"/>
        <v/>
      </c>
    </row>
    <row r="393" spans="1:14">
      <c r="A393" s="146" t="str">
        <f>IF(C393="","",VLOOKUP('Opći dio'!$C$3,'Opći dio'!$L$6:$U$136,10,FALSE))</f>
        <v/>
      </c>
      <c r="B393" s="146" t="str">
        <f>IF(C393="","",VLOOKUP('Opći dio'!$C$3,'Opći dio'!$L$6:$U$136,9,FALSE))</f>
        <v/>
      </c>
      <c r="C393" s="152"/>
      <c r="D393" s="147" t="str">
        <f t="shared" si="45"/>
        <v/>
      </c>
      <c r="E393" s="152"/>
      <c r="F393" s="147" t="str">
        <f t="shared" si="46"/>
        <v/>
      </c>
      <c r="G393" s="199"/>
      <c r="H393" s="147" t="str">
        <f t="shared" si="47"/>
        <v/>
      </c>
      <c r="I393" s="196"/>
      <c r="J393" s="196"/>
      <c r="K393" s="196"/>
      <c r="M393" s="142" t="str">
        <f t="shared" si="48"/>
        <v/>
      </c>
      <c r="N393" s="142" t="str">
        <f t="shared" si="49"/>
        <v/>
      </c>
    </row>
    <row r="394" spans="1:14">
      <c r="A394" s="146" t="str">
        <f>IF(C394="","",VLOOKUP('Opći dio'!$C$3,'Opći dio'!$L$6:$U$136,10,FALSE))</f>
        <v/>
      </c>
      <c r="B394" s="146" t="str">
        <f>IF(C394="","",VLOOKUP('Opći dio'!$C$3,'Opći dio'!$L$6:$U$136,9,FALSE))</f>
        <v/>
      </c>
      <c r="C394" s="152"/>
      <c r="D394" s="147" t="str">
        <f t="shared" si="45"/>
        <v/>
      </c>
      <c r="E394" s="152"/>
      <c r="F394" s="147" t="str">
        <f t="shared" si="46"/>
        <v/>
      </c>
      <c r="G394" s="199"/>
      <c r="H394" s="147" t="str">
        <f t="shared" si="47"/>
        <v/>
      </c>
      <c r="I394" s="196"/>
      <c r="J394" s="196"/>
      <c r="K394" s="196"/>
      <c r="M394" s="142" t="str">
        <f t="shared" si="48"/>
        <v/>
      </c>
      <c r="N394" s="142" t="str">
        <f t="shared" si="49"/>
        <v/>
      </c>
    </row>
    <row r="395" spans="1:14">
      <c r="A395" s="146" t="str">
        <f>IF(C395="","",VLOOKUP('Opći dio'!$C$3,'Opći dio'!$L$6:$U$136,10,FALSE))</f>
        <v/>
      </c>
      <c r="B395" s="146" t="str">
        <f>IF(C395="","",VLOOKUP('Opći dio'!$C$3,'Opći dio'!$L$6:$U$136,9,FALSE))</f>
        <v/>
      </c>
      <c r="C395" s="152"/>
      <c r="D395" s="147" t="str">
        <f t="shared" si="45"/>
        <v/>
      </c>
      <c r="E395" s="152"/>
      <c r="F395" s="147" t="str">
        <f t="shared" si="46"/>
        <v/>
      </c>
      <c r="G395" s="199"/>
      <c r="H395" s="147" t="str">
        <f t="shared" si="47"/>
        <v/>
      </c>
      <c r="I395" s="196"/>
      <c r="J395" s="196"/>
      <c r="K395" s="196"/>
      <c r="M395" s="142" t="str">
        <f t="shared" si="48"/>
        <v/>
      </c>
      <c r="N395" s="142" t="str">
        <f t="shared" si="49"/>
        <v/>
      </c>
    </row>
    <row r="396" spans="1:14">
      <c r="A396" s="146" t="str">
        <f>IF(C396="","",VLOOKUP('Opći dio'!$C$3,'Opći dio'!$L$6:$U$136,10,FALSE))</f>
        <v/>
      </c>
      <c r="B396" s="146" t="str">
        <f>IF(C396="","",VLOOKUP('Opći dio'!$C$3,'Opći dio'!$L$6:$U$136,9,FALSE))</f>
        <v/>
      </c>
      <c r="C396" s="152"/>
      <c r="D396" s="147" t="str">
        <f t="shared" si="45"/>
        <v/>
      </c>
      <c r="E396" s="152"/>
      <c r="F396" s="147" t="str">
        <f t="shared" si="46"/>
        <v/>
      </c>
      <c r="G396" s="199"/>
      <c r="H396" s="147" t="str">
        <f t="shared" si="47"/>
        <v/>
      </c>
      <c r="I396" s="196"/>
      <c r="J396" s="196"/>
      <c r="K396" s="196"/>
      <c r="M396" s="142" t="str">
        <f t="shared" si="48"/>
        <v/>
      </c>
      <c r="N396" s="142" t="str">
        <f t="shared" si="49"/>
        <v/>
      </c>
    </row>
    <row r="397" spans="1:14">
      <c r="A397" s="146" t="str">
        <f>IF(C397="","",VLOOKUP('Opći dio'!$C$3,'Opći dio'!$L$6:$U$136,10,FALSE))</f>
        <v/>
      </c>
      <c r="B397" s="146" t="str">
        <f>IF(C397="","",VLOOKUP('Opći dio'!$C$3,'Opći dio'!$L$6:$U$136,9,FALSE))</f>
        <v/>
      </c>
      <c r="C397" s="152"/>
      <c r="D397" s="147" t="str">
        <f t="shared" si="45"/>
        <v/>
      </c>
      <c r="E397" s="152"/>
      <c r="F397" s="147" t="str">
        <f t="shared" si="46"/>
        <v/>
      </c>
      <c r="G397" s="199"/>
      <c r="H397" s="147" t="str">
        <f t="shared" si="47"/>
        <v/>
      </c>
      <c r="I397" s="196"/>
      <c r="J397" s="196"/>
      <c r="K397" s="196"/>
      <c r="M397" s="142" t="str">
        <f t="shared" si="48"/>
        <v/>
      </c>
      <c r="N397" s="142" t="str">
        <f t="shared" si="49"/>
        <v/>
      </c>
    </row>
    <row r="398" spans="1:14">
      <c r="A398" s="146" t="str">
        <f>IF(C398="","",VLOOKUP('Opći dio'!$C$3,'Opći dio'!$L$6:$U$136,10,FALSE))</f>
        <v/>
      </c>
      <c r="B398" s="146" t="str">
        <f>IF(C398="","",VLOOKUP('Opći dio'!$C$3,'Opći dio'!$L$6:$U$136,9,FALSE))</f>
        <v/>
      </c>
      <c r="C398" s="152"/>
      <c r="D398" s="147" t="str">
        <f t="shared" si="45"/>
        <v/>
      </c>
      <c r="E398" s="152"/>
      <c r="F398" s="147" t="str">
        <f t="shared" si="46"/>
        <v/>
      </c>
      <c r="G398" s="199"/>
      <c r="H398" s="147" t="str">
        <f t="shared" si="47"/>
        <v/>
      </c>
      <c r="I398" s="196"/>
      <c r="J398" s="196"/>
      <c r="K398" s="196"/>
      <c r="M398" s="142" t="str">
        <f t="shared" si="48"/>
        <v/>
      </c>
      <c r="N398" s="142" t="str">
        <f t="shared" si="49"/>
        <v/>
      </c>
    </row>
    <row r="399" spans="1:14">
      <c r="A399" s="146" t="str">
        <f>IF(C399="","",VLOOKUP('Opći dio'!$C$3,'Opći dio'!$L$6:$U$136,10,FALSE))</f>
        <v/>
      </c>
      <c r="B399" s="146" t="str">
        <f>IF(C399="","",VLOOKUP('Opći dio'!$C$3,'Opći dio'!$L$6:$U$136,9,FALSE))</f>
        <v/>
      </c>
      <c r="C399" s="152"/>
      <c r="D399" s="147" t="str">
        <f t="shared" si="45"/>
        <v/>
      </c>
      <c r="E399" s="152"/>
      <c r="F399" s="147" t="str">
        <f t="shared" si="46"/>
        <v/>
      </c>
      <c r="G399" s="199"/>
      <c r="H399" s="147" t="str">
        <f t="shared" si="47"/>
        <v/>
      </c>
      <c r="I399" s="196"/>
      <c r="J399" s="196"/>
      <c r="K399" s="196"/>
      <c r="M399" s="142" t="str">
        <f t="shared" si="48"/>
        <v/>
      </c>
      <c r="N399" s="142" t="str">
        <f t="shared" si="49"/>
        <v/>
      </c>
    </row>
    <row r="400" spans="1:14">
      <c r="A400" s="146" t="str">
        <f>IF(C400="","",VLOOKUP('Opći dio'!$C$3,'Opći dio'!$L$6:$U$136,10,FALSE))</f>
        <v/>
      </c>
      <c r="B400" s="146" t="str">
        <f>IF(C400="","",VLOOKUP('Opći dio'!$C$3,'Opći dio'!$L$6:$U$136,9,FALSE))</f>
        <v/>
      </c>
      <c r="C400" s="152"/>
      <c r="D400" s="147" t="str">
        <f t="shared" si="45"/>
        <v/>
      </c>
      <c r="E400" s="152"/>
      <c r="F400" s="147" t="str">
        <f t="shared" si="46"/>
        <v/>
      </c>
      <c r="G400" s="199"/>
      <c r="H400" s="147" t="str">
        <f t="shared" si="47"/>
        <v/>
      </c>
      <c r="I400" s="196"/>
      <c r="J400" s="196"/>
      <c r="K400" s="196"/>
      <c r="M400" s="142" t="str">
        <f t="shared" si="48"/>
        <v/>
      </c>
      <c r="N400" s="142" t="str">
        <f t="shared" si="49"/>
        <v/>
      </c>
    </row>
    <row r="401" spans="1:14">
      <c r="A401" s="146" t="str">
        <f>IF(C401="","",VLOOKUP('Opći dio'!$C$3,'Opći dio'!$L$6:$U$136,10,FALSE))</f>
        <v/>
      </c>
      <c r="B401" s="146" t="str">
        <f>IF(C401="","",VLOOKUP('Opći dio'!$C$3,'Opći dio'!$L$6:$U$136,9,FALSE))</f>
        <v/>
      </c>
      <c r="C401" s="152"/>
      <c r="D401" s="147" t="str">
        <f t="shared" si="45"/>
        <v/>
      </c>
      <c r="E401" s="152"/>
      <c r="F401" s="147" t="str">
        <f t="shared" si="46"/>
        <v/>
      </c>
      <c r="G401" s="199"/>
      <c r="H401" s="147" t="str">
        <f t="shared" si="47"/>
        <v/>
      </c>
      <c r="I401" s="196"/>
      <c r="J401" s="196"/>
      <c r="K401" s="196"/>
      <c r="M401" s="142" t="str">
        <f t="shared" si="48"/>
        <v/>
      </c>
      <c r="N401" s="142" t="str">
        <f t="shared" si="49"/>
        <v/>
      </c>
    </row>
    <row r="402" spans="1:14">
      <c r="A402" s="146" t="str">
        <f>IF(C402="","",VLOOKUP('Opći dio'!$C$3,'Opći dio'!$L$6:$U$136,10,FALSE))</f>
        <v/>
      </c>
      <c r="B402" s="146" t="str">
        <f>IF(C402="","",VLOOKUP('Opći dio'!$C$3,'Opći dio'!$L$6:$U$136,9,FALSE))</f>
        <v/>
      </c>
      <c r="C402" s="152"/>
      <c r="D402" s="147" t="str">
        <f t="shared" si="45"/>
        <v/>
      </c>
      <c r="E402" s="152"/>
      <c r="F402" s="147" t="str">
        <f t="shared" si="46"/>
        <v/>
      </c>
      <c r="G402" s="199"/>
      <c r="H402" s="147" t="str">
        <f t="shared" si="47"/>
        <v/>
      </c>
      <c r="I402" s="196"/>
      <c r="J402" s="196"/>
      <c r="K402" s="196"/>
      <c r="M402" s="142" t="str">
        <f t="shared" si="48"/>
        <v/>
      </c>
      <c r="N402" s="142" t="str">
        <f t="shared" si="49"/>
        <v/>
      </c>
    </row>
    <row r="403" spans="1:14">
      <c r="A403" s="146" t="str">
        <f>IF(C403="","",VLOOKUP('Opći dio'!$C$3,'Opći dio'!$L$6:$U$136,10,FALSE))</f>
        <v/>
      </c>
      <c r="B403" s="146" t="str">
        <f>IF(C403="","",VLOOKUP('Opći dio'!$C$3,'Opći dio'!$L$6:$U$136,9,FALSE))</f>
        <v/>
      </c>
      <c r="C403" s="152"/>
      <c r="D403" s="147" t="str">
        <f t="shared" si="45"/>
        <v/>
      </c>
      <c r="E403" s="152"/>
      <c r="F403" s="147" t="str">
        <f t="shared" si="46"/>
        <v/>
      </c>
      <c r="G403" s="199"/>
      <c r="H403" s="147" t="str">
        <f t="shared" si="47"/>
        <v/>
      </c>
      <c r="I403" s="196"/>
      <c r="J403" s="196"/>
      <c r="K403" s="196"/>
      <c r="M403" s="142" t="str">
        <f t="shared" si="48"/>
        <v/>
      </c>
      <c r="N403" s="142" t="str">
        <f t="shared" si="49"/>
        <v/>
      </c>
    </row>
    <row r="404" spans="1:14">
      <c r="A404" s="146" t="str">
        <f>IF(C404="","",VLOOKUP('Opći dio'!$C$3,'Opći dio'!$L$6:$U$136,10,FALSE))</f>
        <v/>
      </c>
      <c r="B404" s="146" t="str">
        <f>IF(C404="","",VLOOKUP('Opći dio'!$C$3,'Opći dio'!$L$6:$U$136,9,FALSE))</f>
        <v/>
      </c>
      <c r="C404" s="152"/>
      <c r="D404" s="147" t="str">
        <f t="shared" si="45"/>
        <v/>
      </c>
      <c r="E404" s="152"/>
      <c r="F404" s="147" t="str">
        <f t="shared" si="46"/>
        <v/>
      </c>
      <c r="G404" s="199"/>
      <c r="H404" s="147" t="str">
        <f t="shared" si="47"/>
        <v/>
      </c>
      <c r="I404" s="196"/>
      <c r="J404" s="196"/>
      <c r="K404" s="196"/>
      <c r="M404" s="142" t="str">
        <f t="shared" si="48"/>
        <v/>
      </c>
      <c r="N404" s="142" t="str">
        <f t="shared" si="49"/>
        <v/>
      </c>
    </row>
    <row r="405" spans="1:14">
      <c r="A405" s="146" t="str">
        <f>IF(C405="","",VLOOKUP('Opći dio'!$C$3,'Opći dio'!$L$6:$U$136,10,FALSE))</f>
        <v/>
      </c>
      <c r="B405" s="146" t="str">
        <f>IF(C405="","",VLOOKUP('Opći dio'!$C$3,'Opći dio'!$L$6:$U$136,9,FALSE))</f>
        <v/>
      </c>
      <c r="C405" s="152"/>
      <c r="D405" s="147" t="str">
        <f t="shared" si="45"/>
        <v/>
      </c>
      <c r="E405" s="152"/>
      <c r="F405" s="147" t="str">
        <f t="shared" si="46"/>
        <v/>
      </c>
      <c r="G405" s="199"/>
      <c r="H405" s="147" t="str">
        <f t="shared" si="47"/>
        <v/>
      </c>
      <c r="I405" s="196"/>
      <c r="J405" s="196"/>
      <c r="K405" s="196"/>
      <c r="M405" s="142" t="str">
        <f t="shared" si="48"/>
        <v/>
      </c>
      <c r="N405" s="142" t="str">
        <f t="shared" si="49"/>
        <v/>
      </c>
    </row>
    <row r="406" spans="1:14">
      <c r="A406" s="146" t="str">
        <f>IF(C406="","",VLOOKUP('Opći dio'!$C$3,'Opći dio'!$L$6:$U$136,10,FALSE))</f>
        <v/>
      </c>
      <c r="B406" s="146" t="str">
        <f>IF(C406="","",VLOOKUP('Opći dio'!$C$3,'Opći dio'!$L$6:$U$136,9,FALSE))</f>
        <v/>
      </c>
      <c r="C406" s="152"/>
      <c r="D406" s="147" t="str">
        <f t="shared" si="45"/>
        <v/>
      </c>
      <c r="E406" s="152"/>
      <c r="F406" s="147" t="str">
        <f t="shared" si="46"/>
        <v/>
      </c>
      <c r="G406" s="199"/>
      <c r="H406" s="147" t="str">
        <f t="shared" si="47"/>
        <v/>
      </c>
      <c r="I406" s="196"/>
      <c r="J406" s="196"/>
      <c r="K406" s="196"/>
      <c r="M406" s="142" t="str">
        <f t="shared" si="48"/>
        <v/>
      </c>
      <c r="N406" s="142" t="str">
        <f t="shared" si="49"/>
        <v/>
      </c>
    </row>
    <row r="407" spans="1:14">
      <c r="A407" s="146" t="str">
        <f>IF(C407="","",VLOOKUP('Opći dio'!$C$3,'Opći dio'!$L$6:$U$136,10,FALSE))</f>
        <v/>
      </c>
      <c r="B407" s="146" t="str">
        <f>IF(C407="","",VLOOKUP('Opći dio'!$C$3,'Opći dio'!$L$6:$U$136,9,FALSE))</f>
        <v/>
      </c>
      <c r="C407" s="152"/>
      <c r="D407" s="147" t="str">
        <f t="shared" si="45"/>
        <v/>
      </c>
      <c r="E407" s="152"/>
      <c r="F407" s="147" t="str">
        <f t="shared" si="46"/>
        <v/>
      </c>
      <c r="G407" s="199"/>
      <c r="H407" s="147" t="str">
        <f t="shared" si="47"/>
        <v/>
      </c>
      <c r="I407" s="196"/>
      <c r="J407" s="196"/>
      <c r="K407" s="196"/>
      <c r="M407" s="142" t="str">
        <f t="shared" si="48"/>
        <v/>
      </c>
      <c r="N407" s="142" t="str">
        <f t="shared" si="49"/>
        <v/>
      </c>
    </row>
    <row r="408" spans="1:14">
      <c r="A408" s="146" t="str">
        <f>IF(C408="","",VLOOKUP('Opći dio'!$C$3,'Opći dio'!$L$6:$U$136,10,FALSE))</f>
        <v/>
      </c>
      <c r="B408" s="146" t="str">
        <f>IF(C408="","",VLOOKUP('Opći dio'!$C$3,'Opći dio'!$L$6:$U$136,9,FALSE))</f>
        <v/>
      </c>
      <c r="C408" s="152"/>
      <c r="D408" s="147" t="str">
        <f t="shared" si="45"/>
        <v/>
      </c>
      <c r="E408" s="152"/>
      <c r="F408" s="147" t="str">
        <f t="shared" si="46"/>
        <v/>
      </c>
      <c r="G408" s="199"/>
      <c r="H408" s="147" t="str">
        <f t="shared" si="47"/>
        <v/>
      </c>
      <c r="I408" s="196"/>
      <c r="J408" s="196"/>
      <c r="K408" s="196"/>
      <c r="M408" s="142" t="str">
        <f t="shared" si="48"/>
        <v/>
      </c>
      <c r="N408" s="142" t="str">
        <f t="shared" si="49"/>
        <v/>
      </c>
    </row>
    <row r="409" spans="1:14">
      <c r="A409" s="146" t="str">
        <f>IF(C409="","",VLOOKUP('Opći dio'!$C$3,'Opći dio'!$L$6:$U$136,10,FALSE))</f>
        <v/>
      </c>
      <c r="B409" s="146" t="str">
        <f>IF(C409="","",VLOOKUP('Opći dio'!$C$3,'Opći dio'!$L$6:$U$136,9,FALSE))</f>
        <v/>
      </c>
      <c r="C409" s="152"/>
      <c r="D409" s="147" t="str">
        <f t="shared" si="45"/>
        <v/>
      </c>
      <c r="E409" s="152"/>
      <c r="F409" s="147" t="str">
        <f t="shared" si="46"/>
        <v/>
      </c>
      <c r="G409" s="199"/>
      <c r="H409" s="147" t="str">
        <f t="shared" si="47"/>
        <v/>
      </c>
      <c r="I409" s="196"/>
      <c r="J409" s="196"/>
      <c r="K409" s="196"/>
      <c r="M409" s="142" t="str">
        <f t="shared" si="48"/>
        <v/>
      </c>
      <c r="N409" s="142" t="str">
        <f t="shared" si="49"/>
        <v/>
      </c>
    </row>
    <row r="410" spans="1:14">
      <c r="A410" s="146" t="str">
        <f>IF(C410="","",VLOOKUP('Opći dio'!$C$3,'Opći dio'!$L$6:$U$136,10,FALSE))</f>
        <v/>
      </c>
      <c r="B410" s="146" t="str">
        <f>IF(C410="","",VLOOKUP('Opći dio'!$C$3,'Opći dio'!$L$6:$U$136,9,FALSE))</f>
        <v/>
      </c>
      <c r="C410" s="152"/>
      <c r="D410" s="147" t="str">
        <f t="shared" si="45"/>
        <v/>
      </c>
      <c r="E410" s="152"/>
      <c r="F410" s="147" t="str">
        <f t="shared" si="46"/>
        <v/>
      </c>
      <c r="G410" s="199"/>
      <c r="H410" s="147" t="str">
        <f t="shared" si="47"/>
        <v/>
      </c>
      <c r="I410" s="196"/>
      <c r="J410" s="196"/>
      <c r="K410" s="196"/>
      <c r="M410" s="142" t="str">
        <f t="shared" si="48"/>
        <v/>
      </c>
      <c r="N410" s="142" t="str">
        <f t="shared" si="49"/>
        <v/>
      </c>
    </row>
    <row r="411" spans="1:14">
      <c r="A411" s="146" t="str">
        <f>IF(C411="","",VLOOKUP('Opći dio'!$C$3,'Opći dio'!$L$6:$U$136,10,FALSE))</f>
        <v/>
      </c>
      <c r="B411" s="146" t="str">
        <f>IF(C411="","",VLOOKUP('Opći dio'!$C$3,'Opći dio'!$L$6:$U$136,9,FALSE))</f>
        <v/>
      </c>
      <c r="C411" s="152"/>
      <c r="D411" s="147" t="str">
        <f t="shared" si="45"/>
        <v/>
      </c>
      <c r="E411" s="152"/>
      <c r="F411" s="147" t="str">
        <f t="shared" si="46"/>
        <v/>
      </c>
      <c r="G411" s="199"/>
      <c r="H411" s="147" t="str">
        <f t="shared" si="47"/>
        <v/>
      </c>
      <c r="I411" s="196"/>
      <c r="J411" s="196"/>
      <c r="K411" s="196"/>
      <c r="M411" s="142" t="str">
        <f t="shared" si="48"/>
        <v/>
      </c>
      <c r="N411" s="142" t="str">
        <f t="shared" si="49"/>
        <v/>
      </c>
    </row>
    <row r="412" spans="1:14">
      <c r="A412" s="146" t="str">
        <f>IF(C412="","",VLOOKUP('Opći dio'!$C$3,'Opći dio'!$L$6:$U$136,10,FALSE))</f>
        <v/>
      </c>
      <c r="B412" s="146" t="str">
        <f>IF(C412="","",VLOOKUP('Opći dio'!$C$3,'Opći dio'!$L$6:$U$136,9,FALSE))</f>
        <v/>
      </c>
      <c r="C412" s="152"/>
      <c r="D412" s="147" t="str">
        <f t="shared" si="45"/>
        <v/>
      </c>
      <c r="E412" s="152"/>
      <c r="F412" s="147" t="str">
        <f t="shared" si="46"/>
        <v/>
      </c>
      <c r="G412" s="199"/>
      <c r="H412" s="147" t="str">
        <f t="shared" si="47"/>
        <v/>
      </c>
      <c r="I412" s="196"/>
      <c r="J412" s="196"/>
      <c r="K412" s="196"/>
      <c r="M412" s="142" t="str">
        <f t="shared" si="48"/>
        <v/>
      </c>
      <c r="N412" s="142" t="str">
        <f t="shared" si="49"/>
        <v/>
      </c>
    </row>
    <row r="413" spans="1:14">
      <c r="A413" s="146" t="str">
        <f>IF(C413="","",VLOOKUP('Opći dio'!$C$3,'Opći dio'!$L$6:$U$136,10,FALSE))</f>
        <v/>
      </c>
      <c r="B413" s="146" t="str">
        <f>IF(C413="","",VLOOKUP('Opći dio'!$C$3,'Opći dio'!$L$6:$U$136,9,FALSE))</f>
        <v/>
      </c>
      <c r="C413" s="152"/>
      <c r="D413" s="147" t="str">
        <f t="shared" si="45"/>
        <v/>
      </c>
      <c r="E413" s="152"/>
      <c r="F413" s="147" t="str">
        <f t="shared" si="46"/>
        <v/>
      </c>
      <c r="G413" s="199"/>
      <c r="H413" s="147" t="str">
        <f t="shared" si="47"/>
        <v/>
      </c>
      <c r="I413" s="196"/>
      <c r="J413" s="196"/>
      <c r="K413" s="196"/>
      <c r="M413" s="142" t="str">
        <f t="shared" si="48"/>
        <v/>
      </c>
      <c r="N413" s="142" t="str">
        <f t="shared" si="49"/>
        <v/>
      </c>
    </row>
    <row r="414" spans="1:14">
      <c r="A414" s="146" t="str">
        <f>IF(C414="","",VLOOKUP('Opći dio'!$C$3,'Opći dio'!$L$6:$U$136,10,FALSE))</f>
        <v/>
      </c>
      <c r="B414" s="146" t="str">
        <f>IF(C414="","",VLOOKUP('Opći dio'!$C$3,'Opći dio'!$L$6:$U$136,9,FALSE))</f>
        <v/>
      </c>
      <c r="C414" s="152"/>
      <c r="D414" s="147" t="str">
        <f t="shared" si="45"/>
        <v/>
      </c>
      <c r="E414" s="152"/>
      <c r="F414" s="147" t="str">
        <f t="shared" si="46"/>
        <v/>
      </c>
      <c r="G414" s="199"/>
      <c r="H414" s="147" t="str">
        <f t="shared" si="47"/>
        <v/>
      </c>
      <c r="I414" s="196"/>
      <c r="J414" s="196"/>
      <c r="K414" s="196"/>
      <c r="M414" s="142" t="str">
        <f t="shared" si="48"/>
        <v/>
      </c>
      <c r="N414" s="142" t="str">
        <f t="shared" si="49"/>
        <v/>
      </c>
    </row>
    <row r="415" spans="1:14">
      <c r="A415" s="146" t="str">
        <f>IF(C415="","",VLOOKUP('Opći dio'!$C$3,'Opći dio'!$L$6:$U$136,10,FALSE))</f>
        <v/>
      </c>
      <c r="B415" s="146" t="str">
        <f>IF(C415="","",VLOOKUP('Opći dio'!$C$3,'Opći dio'!$L$6:$U$136,9,FALSE))</f>
        <v/>
      </c>
      <c r="C415" s="152"/>
      <c r="D415" s="147" t="str">
        <f t="shared" si="45"/>
        <v/>
      </c>
      <c r="E415" s="152"/>
      <c r="F415" s="147" t="str">
        <f t="shared" si="46"/>
        <v/>
      </c>
      <c r="G415" s="199"/>
      <c r="H415" s="147" t="str">
        <f t="shared" si="47"/>
        <v/>
      </c>
      <c r="I415" s="196"/>
      <c r="J415" s="196"/>
      <c r="K415" s="196"/>
      <c r="M415" s="142" t="str">
        <f t="shared" si="48"/>
        <v/>
      </c>
      <c r="N415" s="142" t="str">
        <f t="shared" si="49"/>
        <v/>
      </c>
    </row>
    <row r="416" spans="1:14">
      <c r="A416" s="146" t="str">
        <f>IF(C416="","",VLOOKUP('Opći dio'!$C$3,'Opći dio'!$L$6:$U$136,10,FALSE))</f>
        <v/>
      </c>
      <c r="B416" s="146" t="str">
        <f>IF(C416="","",VLOOKUP('Opći dio'!$C$3,'Opći dio'!$L$6:$U$136,9,FALSE))</f>
        <v/>
      </c>
      <c r="C416" s="152"/>
      <c r="D416" s="147" t="str">
        <f t="shared" si="45"/>
        <v/>
      </c>
      <c r="E416" s="152"/>
      <c r="F416" s="147" t="str">
        <f t="shared" si="46"/>
        <v/>
      </c>
      <c r="G416" s="199"/>
      <c r="H416" s="147" t="str">
        <f t="shared" si="47"/>
        <v/>
      </c>
      <c r="I416" s="196"/>
      <c r="J416" s="196"/>
      <c r="K416" s="196"/>
      <c r="M416" s="142" t="str">
        <f t="shared" si="48"/>
        <v/>
      </c>
      <c r="N416" s="142" t="str">
        <f t="shared" si="49"/>
        <v/>
      </c>
    </row>
    <row r="417" spans="1:14">
      <c r="A417" s="146" t="str">
        <f>IF(C417="","",VLOOKUP('Opći dio'!$C$3,'Opći dio'!$L$6:$U$136,10,FALSE))</f>
        <v/>
      </c>
      <c r="B417" s="146" t="str">
        <f>IF(C417="","",VLOOKUP('Opći dio'!$C$3,'Opći dio'!$L$6:$U$136,9,FALSE))</f>
        <v/>
      </c>
      <c r="C417" s="152"/>
      <c r="D417" s="147" t="str">
        <f t="shared" si="45"/>
        <v/>
      </c>
      <c r="E417" s="152"/>
      <c r="F417" s="147" t="str">
        <f t="shared" si="46"/>
        <v/>
      </c>
      <c r="G417" s="199"/>
      <c r="H417" s="147" t="str">
        <f t="shared" si="47"/>
        <v/>
      </c>
      <c r="I417" s="196"/>
      <c r="J417" s="196"/>
      <c r="K417" s="196"/>
      <c r="M417" s="142" t="str">
        <f t="shared" si="48"/>
        <v/>
      </c>
      <c r="N417" s="142" t="str">
        <f t="shared" si="49"/>
        <v/>
      </c>
    </row>
    <row r="418" spans="1:14">
      <c r="A418" s="146" t="str">
        <f>IF(C418="","",VLOOKUP('Opći dio'!$C$3,'Opći dio'!$L$6:$U$136,10,FALSE))</f>
        <v/>
      </c>
      <c r="B418" s="146" t="str">
        <f>IF(C418="","",VLOOKUP('Opći dio'!$C$3,'Opći dio'!$L$6:$U$136,9,FALSE))</f>
        <v/>
      </c>
      <c r="C418" s="152"/>
      <c r="D418" s="147" t="str">
        <f t="shared" si="45"/>
        <v/>
      </c>
      <c r="E418" s="152"/>
      <c r="F418" s="147" t="str">
        <f t="shared" si="46"/>
        <v/>
      </c>
      <c r="G418" s="199"/>
      <c r="H418" s="147" t="str">
        <f t="shared" si="47"/>
        <v/>
      </c>
      <c r="I418" s="196"/>
      <c r="J418" s="196"/>
      <c r="K418" s="196"/>
      <c r="M418" s="142" t="str">
        <f t="shared" si="48"/>
        <v/>
      </c>
      <c r="N418" s="142" t="str">
        <f t="shared" si="49"/>
        <v/>
      </c>
    </row>
    <row r="419" spans="1:14">
      <c r="A419" s="146" t="str">
        <f>IF(C419="","",VLOOKUP('Opći dio'!$C$3,'Opći dio'!$L$6:$U$136,10,FALSE))</f>
        <v/>
      </c>
      <c r="B419" s="146" t="str">
        <f>IF(C419="","",VLOOKUP('Opći dio'!$C$3,'Opći dio'!$L$6:$U$136,9,FALSE))</f>
        <v/>
      </c>
      <c r="C419" s="152"/>
      <c r="D419" s="147" t="str">
        <f t="shared" si="45"/>
        <v/>
      </c>
      <c r="E419" s="152"/>
      <c r="F419" s="147" t="str">
        <f t="shared" si="46"/>
        <v/>
      </c>
      <c r="G419" s="199"/>
      <c r="H419" s="147" t="str">
        <f t="shared" si="47"/>
        <v/>
      </c>
      <c r="I419" s="196"/>
      <c r="J419" s="196"/>
      <c r="K419" s="196"/>
      <c r="M419" s="142" t="str">
        <f t="shared" si="48"/>
        <v/>
      </c>
      <c r="N419" s="142" t="str">
        <f t="shared" si="49"/>
        <v/>
      </c>
    </row>
    <row r="420" spans="1:14">
      <c r="A420" s="146" t="str">
        <f>IF(C420="","",VLOOKUP('Opći dio'!$C$3,'Opći dio'!$L$6:$U$136,10,FALSE))</f>
        <v/>
      </c>
      <c r="B420" s="146" t="str">
        <f>IF(C420="","",VLOOKUP('Opći dio'!$C$3,'Opći dio'!$L$6:$U$136,9,FALSE))</f>
        <v/>
      </c>
      <c r="C420" s="152"/>
      <c r="D420" s="147" t="str">
        <f t="shared" si="45"/>
        <v/>
      </c>
      <c r="E420" s="152"/>
      <c r="F420" s="147" t="str">
        <f t="shared" si="46"/>
        <v/>
      </c>
      <c r="G420" s="199"/>
      <c r="H420" s="147" t="str">
        <f t="shared" si="47"/>
        <v/>
      </c>
      <c r="I420" s="196"/>
      <c r="J420" s="196"/>
      <c r="K420" s="196"/>
      <c r="M420" s="142" t="str">
        <f t="shared" si="48"/>
        <v/>
      </c>
      <c r="N420" s="142" t="str">
        <f t="shared" si="49"/>
        <v/>
      </c>
    </row>
    <row r="421" spans="1:14">
      <c r="A421" s="146" t="str">
        <f>IF(C421="","",VLOOKUP('Opći dio'!$C$3,'Opći dio'!$L$6:$U$136,10,FALSE))</f>
        <v/>
      </c>
      <c r="B421" s="146" t="str">
        <f>IF(C421="","",VLOOKUP('Opći dio'!$C$3,'Opći dio'!$L$6:$U$136,9,FALSE))</f>
        <v/>
      </c>
      <c r="C421" s="152"/>
      <c r="D421" s="147" t="str">
        <f t="shared" si="45"/>
        <v/>
      </c>
      <c r="E421" s="152"/>
      <c r="F421" s="147" t="str">
        <f t="shared" si="46"/>
        <v/>
      </c>
      <c r="G421" s="199"/>
      <c r="H421" s="147" t="str">
        <f t="shared" si="47"/>
        <v/>
      </c>
      <c r="I421" s="196"/>
      <c r="J421" s="196"/>
      <c r="K421" s="196"/>
      <c r="M421" s="142" t="str">
        <f t="shared" si="48"/>
        <v/>
      </c>
      <c r="N421" s="142" t="str">
        <f t="shared" si="49"/>
        <v/>
      </c>
    </row>
    <row r="422" spans="1:14">
      <c r="A422" s="146" t="str">
        <f>IF(C422="","",VLOOKUP('Opći dio'!$C$3,'Opći dio'!$L$6:$U$136,10,FALSE))</f>
        <v/>
      </c>
      <c r="B422" s="146" t="str">
        <f>IF(C422="","",VLOOKUP('Opći dio'!$C$3,'Opći dio'!$L$6:$U$136,9,FALSE))</f>
        <v/>
      </c>
      <c r="C422" s="152"/>
      <c r="D422" s="147" t="str">
        <f t="shared" si="45"/>
        <v/>
      </c>
      <c r="E422" s="152"/>
      <c r="F422" s="147" t="str">
        <f t="shared" si="46"/>
        <v/>
      </c>
      <c r="G422" s="199"/>
      <c r="H422" s="147" t="str">
        <f t="shared" si="47"/>
        <v/>
      </c>
      <c r="I422" s="196"/>
      <c r="J422" s="196"/>
      <c r="K422" s="196"/>
      <c r="M422" s="142" t="str">
        <f t="shared" si="48"/>
        <v/>
      </c>
      <c r="N422" s="142" t="str">
        <f t="shared" si="49"/>
        <v/>
      </c>
    </row>
    <row r="423" spans="1:14">
      <c r="A423" s="146" t="str">
        <f>IF(C423="","",VLOOKUP('Opći dio'!$C$3,'Opći dio'!$L$6:$U$136,10,FALSE))</f>
        <v/>
      </c>
      <c r="B423" s="146" t="str">
        <f>IF(C423="","",VLOOKUP('Opći dio'!$C$3,'Opći dio'!$L$6:$U$136,9,FALSE))</f>
        <v/>
      </c>
      <c r="C423" s="152"/>
      <c r="D423" s="147" t="str">
        <f t="shared" si="45"/>
        <v/>
      </c>
      <c r="E423" s="152"/>
      <c r="F423" s="147" t="str">
        <f t="shared" si="46"/>
        <v/>
      </c>
      <c r="G423" s="199"/>
      <c r="H423" s="147" t="str">
        <f t="shared" si="47"/>
        <v/>
      </c>
      <c r="I423" s="196"/>
      <c r="J423" s="196"/>
      <c r="K423" s="196"/>
      <c r="M423" s="142" t="str">
        <f t="shared" si="48"/>
        <v/>
      </c>
      <c r="N423" s="142" t="str">
        <f t="shared" si="49"/>
        <v/>
      </c>
    </row>
    <row r="424" spans="1:14">
      <c r="A424" s="146" t="str">
        <f>IF(C424="","",VLOOKUP('Opći dio'!$C$3,'Opći dio'!$L$6:$U$136,10,FALSE))</f>
        <v/>
      </c>
      <c r="B424" s="146" t="str">
        <f>IF(C424="","",VLOOKUP('Opći dio'!$C$3,'Opći dio'!$L$6:$U$136,9,FALSE))</f>
        <v/>
      </c>
      <c r="C424" s="152"/>
      <c r="D424" s="147" t="str">
        <f t="shared" si="45"/>
        <v/>
      </c>
      <c r="E424" s="152"/>
      <c r="F424" s="147" t="str">
        <f t="shared" si="46"/>
        <v/>
      </c>
      <c r="G424" s="199"/>
      <c r="H424" s="147" t="str">
        <f t="shared" si="47"/>
        <v/>
      </c>
      <c r="I424" s="196"/>
      <c r="J424" s="196"/>
      <c r="K424" s="196"/>
      <c r="M424" s="142" t="str">
        <f t="shared" si="48"/>
        <v/>
      </c>
      <c r="N424" s="142" t="str">
        <f t="shared" si="49"/>
        <v/>
      </c>
    </row>
    <row r="425" spans="1:14">
      <c r="A425" s="146" t="str">
        <f>IF(C425="","",VLOOKUP('Opći dio'!$C$3,'Opći dio'!$L$6:$U$136,10,FALSE))</f>
        <v/>
      </c>
      <c r="B425" s="146" t="str">
        <f>IF(C425="","",VLOOKUP('Opći dio'!$C$3,'Opći dio'!$L$6:$U$136,9,FALSE))</f>
        <v/>
      </c>
      <c r="C425" s="152"/>
      <c r="D425" s="147" t="str">
        <f t="shared" si="45"/>
        <v/>
      </c>
      <c r="E425" s="152"/>
      <c r="F425" s="147" t="str">
        <f t="shared" si="46"/>
        <v/>
      </c>
      <c r="G425" s="199"/>
      <c r="H425" s="147" t="str">
        <f t="shared" si="47"/>
        <v/>
      </c>
      <c r="I425" s="196"/>
      <c r="J425" s="196"/>
      <c r="K425" s="196"/>
      <c r="M425" s="142" t="str">
        <f t="shared" si="48"/>
        <v/>
      </c>
      <c r="N425" s="142" t="str">
        <f t="shared" si="49"/>
        <v/>
      </c>
    </row>
    <row r="426" spans="1:14">
      <c r="A426" s="146" t="str">
        <f>IF(C426="","",VLOOKUP('Opći dio'!$C$3,'Opći dio'!$L$6:$U$136,10,FALSE))</f>
        <v/>
      </c>
      <c r="B426" s="146" t="str">
        <f>IF(C426="","",VLOOKUP('Opći dio'!$C$3,'Opći dio'!$L$6:$U$136,9,FALSE))</f>
        <v/>
      </c>
      <c r="C426" s="152"/>
      <c r="D426" s="147" t="str">
        <f t="shared" si="45"/>
        <v/>
      </c>
      <c r="E426" s="152"/>
      <c r="F426" s="147" t="str">
        <f t="shared" si="46"/>
        <v/>
      </c>
      <c r="G426" s="199"/>
      <c r="H426" s="147" t="str">
        <f t="shared" si="47"/>
        <v/>
      </c>
      <c r="I426" s="196"/>
      <c r="J426" s="196"/>
      <c r="K426" s="196"/>
      <c r="M426" s="142" t="str">
        <f t="shared" si="48"/>
        <v/>
      </c>
      <c r="N426" s="142" t="str">
        <f t="shared" si="49"/>
        <v/>
      </c>
    </row>
    <row r="427" spans="1:14">
      <c r="A427" s="146" t="str">
        <f>IF(C427="","",VLOOKUP('Opći dio'!$C$3,'Opći dio'!$L$6:$U$136,10,FALSE))</f>
        <v/>
      </c>
      <c r="B427" s="146" t="str">
        <f>IF(C427="","",VLOOKUP('Opći dio'!$C$3,'Opći dio'!$L$6:$U$136,9,FALSE))</f>
        <v/>
      </c>
      <c r="C427" s="152"/>
      <c r="D427" s="147" t="str">
        <f t="shared" si="45"/>
        <v/>
      </c>
      <c r="E427" s="152"/>
      <c r="F427" s="147" t="str">
        <f t="shared" si="46"/>
        <v/>
      </c>
      <c r="G427" s="199"/>
      <c r="H427" s="147" t="str">
        <f t="shared" si="47"/>
        <v/>
      </c>
      <c r="I427" s="196"/>
      <c r="J427" s="196"/>
      <c r="K427" s="196"/>
      <c r="M427" s="142" t="str">
        <f t="shared" si="48"/>
        <v/>
      </c>
      <c r="N427" s="142" t="str">
        <f t="shared" si="49"/>
        <v/>
      </c>
    </row>
    <row r="428" spans="1:14">
      <c r="A428" s="146" t="str">
        <f>IF(C428="","",VLOOKUP('Opći dio'!$C$3,'Opći dio'!$L$6:$U$136,10,FALSE))</f>
        <v/>
      </c>
      <c r="B428" s="146" t="str">
        <f>IF(C428="","",VLOOKUP('Opći dio'!$C$3,'Opći dio'!$L$6:$U$136,9,FALSE))</f>
        <v/>
      </c>
      <c r="C428" s="152"/>
      <c r="D428" s="147" t="str">
        <f t="shared" si="45"/>
        <v/>
      </c>
      <c r="E428" s="152"/>
      <c r="F428" s="147" t="str">
        <f t="shared" si="46"/>
        <v/>
      </c>
      <c r="G428" s="199"/>
      <c r="H428" s="147" t="str">
        <f t="shared" si="47"/>
        <v/>
      </c>
      <c r="I428" s="196"/>
      <c r="J428" s="196"/>
      <c r="K428" s="196"/>
      <c r="M428" s="142" t="str">
        <f t="shared" si="48"/>
        <v/>
      </c>
      <c r="N428" s="142" t="str">
        <f t="shared" si="49"/>
        <v/>
      </c>
    </row>
    <row r="429" spans="1:14">
      <c r="A429" s="146" t="str">
        <f>IF(C429="","",VLOOKUP('Opći dio'!$C$3,'Opći dio'!$L$6:$U$136,10,FALSE))</f>
        <v/>
      </c>
      <c r="B429" s="146" t="str">
        <f>IF(C429="","",VLOOKUP('Opći dio'!$C$3,'Opći dio'!$L$6:$U$136,9,FALSE))</f>
        <v/>
      </c>
      <c r="C429" s="152"/>
      <c r="D429" s="147" t="str">
        <f t="shared" si="45"/>
        <v/>
      </c>
      <c r="E429" s="152"/>
      <c r="F429" s="147" t="str">
        <f t="shared" si="46"/>
        <v/>
      </c>
      <c r="G429" s="199"/>
      <c r="H429" s="147" t="str">
        <f t="shared" si="47"/>
        <v/>
      </c>
      <c r="I429" s="196"/>
      <c r="J429" s="196"/>
      <c r="K429" s="196"/>
      <c r="M429" s="142" t="str">
        <f t="shared" si="48"/>
        <v/>
      </c>
      <c r="N429" s="142" t="str">
        <f t="shared" si="49"/>
        <v/>
      </c>
    </row>
    <row r="430" spans="1:14">
      <c r="A430" s="146" t="str">
        <f>IF(C430="","",VLOOKUP('Opći dio'!$C$3,'Opći dio'!$L$6:$U$136,10,FALSE))</f>
        <v/>
      </c>
      <c r="B430" s="146" t="str">
        <f>IF(C430="","",VLOOKUP('Opći dio'!$C$3,'Opći dio'!$L$6:$U$136,9,FALSE))</f>
        <v/>
      </c>
      <c r="C430" s="152"/>
      <c r="D430" s="147" t="str">
        <f t="shared" si="45"/>
        <v/>
      </c>
      <c r="E430" s="152"/>
      <c r="F430" s="147" t="str">
        <f t="shared" si="46"/>
        <v/>
      </c>
      <c r="G430" s="199"/>
      <c r="H430" s="147" t="str">
        <f t="shared" si="47"/>
        <v/>
      </c>
      <c r="I430" s="196"/>
      <c r="J430" s="196"/>
      <c r="K430" s="196"/>
      <c r="M430" s="142" t="str">
        <f t="shared" si="48"/>
        <v/>
      </c>
      <c r="N430" s="142" t="str">
        <f t="shared" si="49"/>
        <v/>
      </c>
    </row>
    <row r="431" spans="1:14">
      <c r="A431" s="146" t="str">
        <f>IF(C431="","",VLOOKUP('Opći dio'!$C$3,'Opći dio'!$L$6:$U$136,10,FALSE))</f>
        <v/>
      </c>
      <c r="B431" s="146" t="str">
        <f>IF(C431="","",VLOOKUP('Opći dio'!$C$3,'Opći dio'!$L$6:$U$136,9,FALSE))</f>
        <v/>
      </c>
      <c r="C431" s="152"/>
      <c r="D431" s="147" t="str">
        <f t="shared" si="45"/>
        <v/>
      </c>
      <c r="E431" s="152"/>
      <c r="F431" s="147" t="str">
        <f t="shared" si="46"/>
        <v/>
      </c>
      <c r="G431" s="199"/>
      <c r="H431" s="147" t="str">
        <f t="shared" si="47"/>
        <v/>
      </c>
      <c r="I431" s="196"/>
      <c r="J431" s="196"/>
      <c r="K431" s="196"/>
      <c r="M431" s="142" t="str">
        <f t="shared" si="48"/>
        <v/>
      </c>
      <c r="N431" s="142" t="str">
        <f t="shared" si="49"/>
        <v/>
      </c>
    </row>
    <row r="432" spans="1:14">
      <c r="A432" s="146" t="str">
        <f>IF(C432="","",VLOOKUP('Opći dio'!$C$3,'Opći dio'!$L$6:$U$136,10,FALSE))</f>
        <v/>
      </c>
      <c r="B432" s="146" t="str">
        <f>IF(C432="","",VLOOKUP('Opći dio'!$C$3,'Opći dio'!$L$6:$U$136,9,FALSE))</f>
        <v/>
      </c>
      <c r="C432" s="152"/>
      <c r="D432" s="147" t="str">
        <f t="shared" si="45"/>
        <v/>
      </c>
      <c r="E432" s="152"/>
      <c r="F432" s="147" t="str">
        <f t="shared" si="46"/>
        <v/>
      </c>
      <c r="G432" s="199"/>
      <c r="H432" s="147" t="str">
        <f t="shared" si="47"/>
        <v/>
      </c>
      <c r="I432" s="196"/>
      <c r="J432" s="196"/>
      <c r="K432" s="196"/>
      <c r="M432" s="142" t="str">
        <f t="shared" si="48"/>
        <v/>
      </c>
      <c r="N432" s="142" t="str">
        <f t="shared" si="49"/>
        <v/>
      </c>
    </row>
    <row r="433" spans="1:14">
      <c r="A433" s="146" t="str">
        <f>IF(C433="","",VLOOKUP('Opći dio'!$C$3,'Opći dio'!$L$6:$U$136,10,FALSE))</f>
        <v/>
      </c>
      <c r="B433" s="146" t="str">
        <f>IF(C433="","",VLOOKUP('Opći dio'!$C$3,'Opći dio'!$L$6:$U$136,9,FALSE))</f>
        <v/>
      </c>
      <c r="C433" s="152"/>
      <c r="D433" s="147" t="str">
        <f t="shared" si="45"/>
        <v/>
      </c>
      <c r="E433" s="152"/>
      <c r="F433" s="147" t="str">
        <f t="shared" si="46"/>
        <v/>
      </c>
      <c r="G433" s="199"/>
      <c r="H433" s="147" t="str">
        <f t="shared" si="47"/>
        <v/>
      </c>
      <c r="I433" s="196"/>
      <c r="J433" s="196"/>
      <c r="K433" s="196"/>
      <c r="M433" s="142" t="str">
        <f t="shared" si="48"/>
        <v/>
      </c>
      <c r="N433" s="142" t="str">
        <f t="shared" si="49"/>
        <v/>
      </c>
    </row>
    <row r="434" spans="1:14">
      <c r="A434" s="146" t="str">
        <f>IF(C434="","",VLOOKUP('Opći dio'!$C$3,'Opći dio'!$L$6:$U$136,10,FALSE))</f>
        <v/>
      </c>
      <c r="B434" s="146" t="str">
        <f>IF(C434="","",VLOOKUP('Opći dio'!$C$3,'Opći dio'!$L$6:$U$136,9,FALSE))</f>
        <v/>
      </c>
      <c r="C434" s="152"/>
      <c r="D434" s="147" t="str">
        <f t="shared" si="45"/>
        <v/>
      </c>
      <c r="E434" s="152"/>
      <c r="F434" s="147" t="str">
        <f t="shared" si="46"/>
        <v/>
      </c>
      <c r="G434" s="199"/>
      <c r="H434" s="147" t="str">
        <f t="shared" si="47"/>
        <v/>
      </c>
      <c r="I434" s="196"/>
      <c r="J434" s="196"/>
      <c r="K434" s="196"/>
      <c r="M434" s="142" t="str">
        <f t="shared" si="48"/>
        <v/>
      </c>
      <c r="N434" s="142" t="str">
        <f t="shared" si="49"/>
        <v/>
      </c>
    </row>
    <row r="435" spans="1:14">
      <c r="A435" s="146" t="str">
        <f>IF(C435="","",VLOOKUP('Opći dio'!$C$3,'Opći dio'!$L$6:$U$136,10,FALSE))</f>
        <v/>
      </c>
      <c r="B435" s="146" t="str">
        <f>IF(C435="","",VLOOKUP('Opći dio'!$C$3,'Opći dio'!$L$6:$U$136,9,FALSE))</f>
        <v/>
      </c>
      <c r="C435" s="152"/>
      <c r="D435" s="147" t="str">
        <f t="shared" si="45"/>
        <v/>
      </c>
      <c r="E435" s="152"/>
      <c r="F435" s="147" t="str">
        <f t="shared" si="46"/>
        <v/>
      </c>
      <c r="G435" s="199"/>
      <c r="H435" s="147" t="str">
        <f t="shared" si="47"/>
        <v/>
      </c>
      <c r="I435" s="196"/>
      <c r="J435" s="196"/>
      <c r="K435" s="196"/>
      <c r="M435" s="142" t="str">
        <f t="shared" si="48"/>
        <v/>
      </c>
      <c r="N435" s="142" t="str">
        <f t="shared" si="49"/>
        <v/>
      </c>
    </row>
    <row r="436" spans="1:14">
      <c r="A436" s="146" t="str">
        <f>IF(C436="","",VLOOKUP('Opći dio'!$C$3,'Opći dio'!$L$6:$U$136,10,FALSE))</f>
        <v/>
      </c>
      <c r="B436" s="146" t="str">
        <f>IF(C436="","",VLOOKUP('Opći dio'!$C$3,'Opći dio'!$L$6:$U$136,9,FALSE))</f>
        <v/>
      </c>
      <c r="C436" s="152"/>
      <c r="D436" s="147" t="str">
        <f t="shared" si="45"/>
        <v/>
      </c>
      <c r="E436" s="152"/>
      <c r="F436" s="147" t="str">
        <f t="shared" si="46"/>
        <v/>
      </c>
      <c r="G436" s="199"/>
      <c r="H436" s="147" t="str">
        <f t="shared" si="47"/>
        <v/>
      </c>
      <c r="I436" s="196"/>
      <c r="J436" s="196"/>
      <c r="K436" s="196"/>
      <c r="M436" s="142" t="str">
        <f t="shared" si="48"/>
        <v/>
      </c>
      <c r="N436" s="142" t="str">
        <f t="shared" si="49"/>
        <v/>
      </c>
    </row>
    <row r="437" spans="1:14">
      <c r="A437" s="146" t="str">
        <f>IF(C437="","",VLOOKUP('Opći dio'!$C$3,'Opći dio'!$L$6:$U$136,10,FALSE))</f>
        <v/>
      </c>
      <c r="B437" s="146" t="str">
        <f>IF(C437="","",VLOOKUP('Opći dio'!$C$3,'Opći dio'!$L$6:$U$136,9,FALSE))</f>
        <v/>
      </c>
      <c r="C437" s="152"/>
      <c r="D437" s="147" t="str">
        <f t="shared" si="45"/>
        <v/>
      </c>
      <c r="E437" s="152"/>
      <c r="F437" s="147" t="str">
        <f t="shared" si="46"/>
        <v/>
      </c>
      <c r="G437" s="199"/>
      <c r="H437" s="147" t="str">
        <f t="shared" si="47"/>
        <v/>
      </c>
      <c r="I437" s="196"/>
      <c r="J437" s="196"/>
      <c r="K437" s="196"/>
      <c r="M437" s="142" t="str">
        <f t="shared" si="48"/>
        <v/>
      </c>
      <c r="N437" s="142" t="str">
        <f t="shared" si="49"/>
        <v/>
      </c>
    </row>
    <row r="438" spans="1:14">
      <c r="A438" s="146" t="str">
        <f>IF(C438="","",VLOOKUP('Opći dio'!$C$3,'Opći dio'!$L$6:$U$136,10,FALSE))</f>
        <v/>
      </c>
      <c r="B438" s="146" t="str">
        <f>IF(C438="","",VLOOKUP('Opći dio'!$C$3,'Opći dio'!$L$6:$U$136,9,FALSE))</f>
        <v/>
      </c>
      <c r="C438" s="152"/>
      <c r="D438" s="147" t="str">
        <f t="shared" si="45"/>
        <v/>
      </c>
      <c r="E438" s="152"/>
      <c r="F438" s="147" t="str">
        <f t="shared" si="46"/>
        <v/>
      </c>
      <c r="G438" s="199"/>
      <c r="H438" s="147" t="str">
        <f t="shared" si="47"/>
        <v/>
      </c>
      <c r="I438" s="196"/>
      <c r="J438" s="196"/>
      <c r="K438" s="196"/>
      <c r="M438" s="142" t="str">
        <f t="shared" si="48"/>
        <v/>
      </c>
      <c r="N438" s="142" t="str">
        <f t="shared" si="49"/>
        <v/>
      </c>
    </row>
    <row r="439" spans="1:14">
      <c r="A439" s="146" t="str">
        <f>IF(C439="","",VLOOKUP('Opći dio'!$C$3,'Opći dio'!$L$6:$U$136,10,FALSE))</f>
        <v/>
      </c>
      <c r="B439" s="146" t="str">
        <f>IF(C439="","",VLOOKUP('Opći dio'!$C$3,'Opći dio'!$L$6:$U$136,9,FALSE))</f>
        <v/>
      </c>
      <c r="C439" s="152"/>
      <c r="D439" s="147" t="str">
        <f t="shared" si="45"/>
        <v/>
      </c>
      <c r="E439" s="152"/>
      <c r="F439" s="147" t="str">
        <f t="shared" si="46"/>
        <v/>
      </c>
      <c r="G439" s="199"/>
      <c r="H439" s="147" t="str">
        <f t="shared" si="47"/>
        <v/>
      </c>
      <c r="I439" s="196"/>
      <c r="J439" s="196"/>
      <c r="K439" s="196"/>
      <c r="M439" s="142" t="str">
        <f t="shared" si="48"/>
        <v/>
      </c>
      <c r="N439" s="142" t="str">
        <f t="shared" si="49"/>
        <v/>
      </c>
    </row>
    <row r="440" spans="1:14">
      <c r="A440" s="146" t="str">
        <f>IF(C440="","",VLOOKUP('Opći dio'!$C$3,'Opći dio'!$L$6:$U$136,10,FALSE))</f>
        <v/>
      </c>
      <c r="B440" s="146" t="str">
        <f>IF(C440="","",VLOOKUP('Opći dio'!$C$3,'Opći dio'!$L$6:$U$136,9,FALSE))</f>
        <v/>
      </c>
      <c r="C440" s="152"/>
      <c r="D440" s="147" t="str">
        <f t="shared" si="45"/>
        <v/>
      </c>
      <c r="E440" s="152"/>
      <c r="F440" s="147" t="str">
        <f t="shared" si="46"/>
        <v/>
      </c>
      <c r="G440" s="199"/>
      <c r="H440" s="147" t="str">
        <f t="shared" si="47"/>
        <v/>
      </c>
      <c r="I440" s="196"/>
      <c r="J440" s="196"/>
      <c r="K440" s="196"/>
      <c r="M440" s="142" t="str">
        <f t="shared" si="48"/>
        <v/>
      </c>
      <c r="N440" s="142" t="str">
        <f t="shared" si="49"/>
        <v/>
      </c>
    </row>
    <row r="441" spans="1:14">
      <c r="A441" s="146" t="str">
        <f>IF(C441="","",VLOOKUP('Opći dio'!$C$3,'Opći dio'!$L$6:$U$136,10,FALSE))</f>
        <v/>
      </c>
      <c r="B441" s="146" t="str">
        <f>IF(C441="","",VLOOKUP('Opći dio'!$C$3,'Opći dio'!$L$6:$U$136,9,FALSE))</f>
        <v/>
      </c>
      <c r="C441" s="152"/>
      <c r="D441" s="147" t="str">
        <f t="shared" si="45"/>
        <v/>
      </c>
      <c r="E441" s="152"/>
      <c r="F441" s="147" t="str">
        <f t="shared" si="46"/>
        <v/>
      </c>
      <c r="G441" s="199"/>
      <c r="H441" s="147" t="str">
        <f t="shared" si="47"/>
        <v/>
      </c>
      <c r="I441" s="196"/>
      <c r="J441" s="196"/>
      <c r="K441" s="196"/>
      <c r="M441" s="142" t="str">
        <f t="shared" si="48"/>
        <v/>
      </c>
      <c r="N441" s="142" t="str">
        <f t="shared" si="49"/>
        <v/>
      </c>
    </row>
    <row r="442" spans="1:14">
      <c r="A442" s="146" t="str">
        <f>IF(C442="","",VLOOKUP('Opći dio'!$C$3,'Opći dio'!$L$6:$U$136,10,FALSE))</f>
        <v/>
      </c>
      <c r="B442" s="146" t="str">
        <f>IF(C442="","",VLOOKUP('Opći dio'!$C$3,'Opći dio'!$L$6:$U$136,9,FALSE))</f>
        <v/>
      </c>
      <c r="C442" s="152"/>
      <c r="D442" s="147" t="str">
        <f t="shared" si="45"/>
        <v/>
      </c>
      <c r="E442" s="152"/>
      <c r="F442" s="147" t="str">
        <f t="shared" si="46"/>
        <v/>
      </c>
      <c r="G442" s="199"/>
      <c r="H442" s="147" t="str">
        <f t="shared" si="47"/>
        <v/>
      </c>
      <c r="I442" s="196"/>
      <c r="J442" s="196"/>
      <c r="K442" s="196"/>
      <c r="M442" s="142" t="str">
        <f t="shared" si="48"/>
        <v/>
      </c>
      <c r="N442" s="142" t="str">
        <f t="shared" si="49"/>
        <v/>
      </c>
    </row>
    <row r="443" spans="1:14">
      <c r="A443" s="146" t="str">
        <f>IF(C443="","",VLOOKUP('Opći dio'!$C$3,'Opći dio'!$L$6:$U$136,10,FALSE))</f>
        <v/>
      </c>
      <c r="B443" s="146" t="str">
        <f>IF(C443="","",VLOOKUP('Opći dio'!$C$3,'Opći dio'!$L$6:$U$136,9,FALSE))</f>
        <v/>
      </c>
      <c r="C443" s="152"/>
      <c r="D443" s="147" t="str">
        <f t="shared" si="45"/>
        <v/>
      </c>
      <c r="E443" s="152"/>
      <c r="F443" s="147" t="str">
        <f t="shared" si="46"/>
        <v/>
      </c>
      <c r="G443" s="199"/>
      <c r="H443" s="147" t="str">
        <f t="shared" si="47"/>
        <v/>
      </c>
      <c r="I443" s="196"/>
      <c r="J443" s="196"/>
      <c r="K443" s="196"/>
      <c r="M443" s="142" t="str">
        <f t="shared" si="48"/>
        <v/>
      </c>
      <c r="N443" s="142" t="str">
        <f t="shared" si="49"/>
        <v/>
      </c>
    </row>
    <row r="444" spans="1:14">
      <c r="A444" s="146" t="str">
        <f>IF(C444="","",VLOOKUP('Opći dio'!$C$3,'Opći dio'!$L$6:$U$136,10,FALSE))</f>
        <v/>
      </c>
      <c r="B444" s="146" t="str">
        <f>IF(C444="","",VLOOKUP('Opći dio'!$C$3,'Opći dio'!$L$6:$U$136,9,FALSE))</f>
        <v/>
      </c>
      <c r="C444" s="152"/>
      <c r="D444" s="147" t="str">
        <f t="shared" si="45"/>
        <v/>
      </c>
      <c r="E444" s="152"/>
      <c r="F444" s="147" t="str">
        <f t="shared" si="46"/>
        <v/>
      </c>
      <c r="G444" s="199"/>
      <c r="H444" s="147" t="str">
        <f t="shared" si="47"/>
        <v/>
      </c>
      <c r="I444" s="196"/>
      <c r="J444" s="196"/>
      <c r="K444" s="196"/>
      <c r="M444" s="142" t="str">
        <f t="shared" si="48"/>
        <v/>
      </c>
      <c r="N444" s="142" t="str">
        <f t="shared" si="49"/>
        <v/>
      </c>
    </row>
    <row r="445" spans="1:14">
      <c r="A445" s="146" t="str">
        <f>IF(C445="","",VLOOKUP('Opći dio'!$C$3,'Opći dio'!$L$6:$U$136,10,FALSE))</f>
        <v/>
      </c>
      <c r="B445" s="146" t="str">
        <f>IF(C445="","",VLOOKUP('Opći dio'!$C$3,'Opći dio'!$L$6:$U$136,9,FALSE))</f>
        <v/>
      </c>
      <c r="C445" s="152"/>
      <c r="D445" s="147" t="str">
        <f t="shared" si="45"/>
        <v/>
      </c>
      <c r="E445" s="152"/>
      <c r="F445" s="147" t="str">
        <f t="shared" si="46"/>
        <v/>
      </c>
      <c r="G445" s="199"/>
      <c r="H445" s="147" t="str">
        <f t="shared" si="47"/>
        <v/>
      </c>
      <c r="I445" s="196"/>
      <c r="J445" s="196"/>
      <c r="K445" s="196"/>
      <c r="M445" s="142" t="str">
        <f t="shared" si="48"/>
        <v/>
      </c>
      <c r="N445" s="142" t="str">
        <f t="shared" si="49"/>
        <v/>
      </c>
    </row>
    <row r="446" spans="1:14">
      <c r="A446" s="146" t="str">
        <f>IF(C446="","",VLOOKUP('Opći dio'!$C$3,'Opći dio'!$L$6:$U$136,10,FALSE))</f>
        <v/>
      </c>
      <c r="B446" s="146" t="str">
        <f>IF(C446="","",VLOOKUP('Opći dio'!$C$3,'Opći dio'!$L$6:$U$136,9,FALSE))</f>
        <v/>
      </c>
      <c r="C446" s="152"/>
      <c r="D446" s="147" t="str">
        <f t="shared" si="45"/>
        <v/>
      </c>
      <c r="E446" s="152"/>
      <c r="F446" s="147" t="str">
        <f t="shared" si="46"/>
        <v/>
      </c>
      <c r="G446" s="199"/>
      <c r="H446" s="147" t="str">
        <f t="shared" si="47"/>
        <v/>
      </c>
      <c r="I446" s="196"/>
      <c r="J446" s="196"/>
      <c r="K446" s="196"/>
      <c r="M446" s="142" t="str">
        <f t="shared" si="48"/>
        <v/>
      </c>
      <c r="N446" s="142" t="str">
        <f t="shared" si="49"/>
        <v/>
      </c>
    </row>
    <row r="447" spans="1:14">
      <c r="A447" s="146" t="str">
        <f>IF(C447="","",VLOOKUP('Opći dio'!$C$3,'Opći dio'!$L$6:$U$136,10,FALSE))</f>
        <v/>
      </c>
      <c r="B447" s="146" t="str">
        <f>IF(C447="","",VLOOKUP('Opći dio'!$C$3,'Opći dio'!$L$6:$U$136,9,FALSE))</f>
        <v/>
      </c>
      <c r="C447" s="152"/>
      <c r="D447" s="147" t="str">
        <f t="shared" si="45"/>
        <v/>
      </c>
      <c r="E447" s="152"/>
      <c r="F447" s="147" t="str">
        <f t="shared" si="46"/>
        <v/>
      </c>
      <c r="G447" s="199"/>
      <c r="H447" s="147" t="str">
        <f t="shared" si="47"/>
        <v/>
      </c>
      <c r="I447" s="196"/>
      <c r="J447" s="196"/>
      <c r="K447" s="196"/>
      <c r="M447" s="142" t="str">
        <f t="shared" si="48"/>
        <v/>
      </c>
      <c r="N447" s="142" t="str">
        <f t="shared" si="49"/>
        <v/>
      </c>
    </row>
    <row r="448" spans="1:14">
      <c r="A448" s="146" t="str">
        <f>IF(C448="","",VLOOKUP('Opći dio'!$C$3,'Opći dio'!$L$6:$U$136,10,FALSE))</f>
        <v/>
      </c>
      <c r="B448" s="146" t="str">
        <f>IF(C448="","",VLOOKUP('Opći dio'!$C$3,'Opći dio'!$L$6:$U$136,9,FALSE))</f>
        <v/>
      </c>
      <c r="C448" s="152"/>
      <c r="D448" s="147" t="str">
        <f t="shared" si="45"/>
        <v/>
      </c>
      <c r="E448" s="152"/>
      <c r="F448" s="147" t="str">
        <f t="shared" si="46"/>
        <v/>
      </c>
      <c r="G448" s="199"/>
      <c r="H448" s="147" t="str">
        <f t="shared" si="47"/>
        <v/>
      </c>
      <c r="I448" s="196"/>
      <c r="J448" s="196"/>
      <c r="K448" s="196"/>
      <c r="M448" s="142" t="str">
        <f t="shared" si="48"/>
        <v/>
      </c>
      <c r="N448" s="142" t="str">
        <f t="shared" si="49"/>
        <v/>
      </c>
    </row>
    <row r="449" spans="1:14">
      <c r="A449" s="146" t="str">
        <f>IF(C449="","",VLOOKUP('Opći dio'!$C$3,'Opći dio'!$L$6:$U$136,10,FALSE))</f>
        <v/>
      </c>
      <c r="B449" s="146" t="str">
        <f>IF(C449="","",VLOOKUP('Opći dio'!$C$3,'Opći dio'!$L$6:$U$136,9,FALSE))</f>
        <v/>
      </c>
      <c r="C449" s="152"/>
      <c r="D449" s="147" t="str">
        <f t="shared" si="45"/>
        <v/>
      </c>
      <c r="E449" s="152"/>
      <c r="F449" s="147" t="str">
        <f t="shared" si="46"/>
        <v/>
      </c>
      <c r="G449" s="199"/>
      <c r="H449" s="147" t="str">
        <f t="shared" si="47"/>
        <v/>
      </c>
      <c r="I449" s="196"/>
      <c r="J449" s="196"/>
      <c r="K449" s="196"/>
      <c r="M449" s="142" t="str">
        <f t="shared" si="48"/>
        <v/>
      </c>
      <c r="N449" s="142" t="str">
        <f t="shared" si="49"/>
        <v/>
      </c>
    </row>
    <row r="450" spans="1:14">
      <c r="A450" s="146" t="str">
        <f>IF(C450="","",VLOOKUP('Opći dio'!$C$3,'Opći dio'!$L$6:$U$136,10,FALSE))</f>
        <v/>
      </c>
      <c r="B450" s="146" t="str">
        <f>IF(C450="","",VLOOKUP('Opći dio'!$C$3,'Opći dio'!$L$6:$U$136,9,FALSE))</f>
        <v/>
      </c>
      <c r="C450" s="152"/>
      <c r="D450" s="147" t="str">
        <f t="shared" si="45"/>
        <v/>
      </c>
      <c r="E450" s="152"/>
      <c r="F450" s="147" t="str">
        <f t="shared" si="46"/>
        <v/>
      </c>
      <c r="G450" s="199"/>
      <c r="H450" s="147" t="str">
        <f t="shared" si="47"/>
        <v/>
      </c>
      <c r="I450" s="196"/>
      <c r="J450" s="196"/>
      <c r="K450" s="196"/>
      <c r="M450" s="142" t="str">
        <f t="shared" si="48"/>
        <v/>
      </c>
      <c r="N450" s="142" t="str">
        <f t="shared" si="49"/>
        <v/>
      </c>
    </row>
    <row r="451" spans="1:14">
      <c r="A451" s="146" t="str">
        <f>IF(C451="","",VLOOKUP('Opći dio'!$C$3,'Opći dio'!$L$6:$U$136,10,FALSE))</f>
        <v/>
      </c>
      <c r="B451" s="146" t="str">
        <f>IF(C451="","",VLOOKUP('Opći dio'!$C$3,'Opći dio'!$L$6:$U$136,9,FALSE))</f>
        <v/>
      </c>
      <c r="C451" s="152"/>
      <c r="D451" s="147" t="str">
        <f t="shared" si="45"/>
        <v/>
      </c>
      <c r="E451" s="152"/>
      <c r="F451" s="147" t="str">
        <f t="shared" si="46"/>
        <v/>
      </c>
      <c r="G451" s="199"/>
      <c r="H451" s="147" t="str">
        <f t="shared" si="47"/>
        <v/>
      </c>
      <c r="I451" s="196"/>
      <c r="J451" s="196"/>
      <c r="K451" s="196"/>
      <c r="M451" s="142" t="str">
        <f t="shared" si="48"/>
        <v/>
      </c>
      <c r="N451" s="142" t="str">
        <f t="shared" si="49"/>
        <v/>
      </c>
    </row>
    <row r="452" spans="1:14">
      <c r="A452" s="146" t="str">
        <f>IF(C452="","",VLOOKUP('Opći dio'!$C$3,'Opći dio'!$L$6:$U$136,10,FALSE))</f>
        <v/>
      </c>
      <c r="B452" s="146" t="str">
        <f>IF(C452="","",VLOOKUP('Opći dio'!$C$3,'Opći dio'!$L$6:$U$136,9,FALSE))</f>
        <v/>
      </c>
      <c r="C452" s="152"/>
      <c r="D452" s="147" t="str">
        <f t="shared" ref="D452:D501" si="50">IFERROR(VLOOKUP(C452,$O$6:$P$22,2,FALSE),"")</f>
        <v/>
      </c>
      <c r="E452" s="152"/>
      <c r="F452" s="147" t="str">
        <f t="shared" ref="F452:F501" si="51">IFERROR(VLOOKUP(E452,$R$5:$T$129,2,FALSE),"")</f>
        <v/>
      </c>
      <c r="G452" s="199"/>
      <c r="H452" s="147" t="str">
        <f t="shared" ref="H452:H501" si="52">IFERROR(VLOOKUP(G452,$X$6:$Y$171,2,FALSE),"")</f>
        <v/>
      </c>
      <c r="I452" s="196"/>
      <c r="J452" s="196"/>
      <c r="K452" s="196"/>
      <c r="M452" s="142" t="str">
        <f t="shared" ref="M452:M501" si="53">LEFT(E452,3)</f>
        <v/>
      </c>
      <c r="N452" s="142" t="str">
        <f t="shared" ref="N452:N501" si="54">LEFT(E452,2)</f>
        <v/>
      </c>
    </row>
    <row r="453" spans="1:14">
      <c r="A453" s="146" t="str">
        <f>IF(C453="","",VLOOKUP('Opći dio'!$C$3,'Opći dio'!$L$6:$U$136,10,FALSE))</f>
        <v/>
      </c>
      <c r="B453" s="146" t="str">
        <f>IF(C453="","",VLOOKUP('Opći dio'!$C$3,'Opći dio'!$L$6:$U$136,9,FALSE))</f>
        <v/>
      </c>
      <c r="C453" s="152"/>
      <c r="D453" s="147" t="str">
        <f t="shared" si="50"/>
        <v/>
      </c>
      <c r="E453" s="152"/>
      <c r="F453" s="147" t="str">
        <f t="shared" si="51"/>
        <v/>
      </c>
      <c r="G453" s="199"/>
      <c r="H453" s="147" t="str">
        <f t="shared" si="52"/>
        <v/>
      </c>
      <c r="I453" s="196"/>
      <c r="J453" s="196"/>
      <c r="K453" s="196"/>
      <c r="M453" s="142" t="str">
        <f t="shared" si="53"/>
        <v/>
      </c>
      <c r="N453" s="142" t="str">
        <f t="shared" si="54"/>
        <v/>
      </c>
    </row>
    <row r="454" spans="1:14">
      <c r="A454" s="146" t="str">
        <f>IF(C454="","",VLOOKUP('Opći dio'!$C$3,'Opći dio'!$L$6:$U$136,10,FALSE))</f>
        <v/>
      </c>
      <c r="B454" s="146" t="str">
        <f>IF(C454="","",VLOOKUP('Opći dio'!$C$3,'Opći dio'!$L$6:$U$136,9,FALSE))</f>
        <v/>
      </c>
      <c r="C454" s="152"/>
      <c r="D454" s="147" t="str">
        <f t="shared" si="50"/>
        <v/>
      </c>
      <c r="E454" s="152"/>
      <c r="F454" s="147" t="str">
        <f t="shared" si="51"/>
        <v/>
      </c>
      <c r="G454" s="199"/>
      <c r="H454" s="147" t="str">
        <f t="shared" si="52"/>
        <v/>
      </c>
      <c r="I454" s="196"/>
      <c r="J454" s="196"/>
      <c r="K454" s="196"/>
      <c r="M454" s="142" t="str">
        <f t="shared" si="53"/>
        <v/>
      </c>
      <c r="N454" s="142" t="str">
        <f t="shared" si="54"/>
        <v/>
      </c>
    </row>
    <row r="455" spans="1:14">
      <c r="A455" s="146" t="str">
        <f>IF(C455="","",VLOOKUP('Opći dio'!$C$3,'Opći dio'!$L$6:$U$136,10,FALSE))</f>
        <v/>
      </c>
      <c r="B455" s="146" t="str">
        <f>IF(C455="","",VLOOKUP('Opći dio'!$C$3,'Opći dio'!$L$6:$U$136,9,FALSE))</f>
        <v/>
      </c>
      <c r="C455" s="152"/>
      <c r="D455" s="147" t="str">
        <f t="shared" si="50"/>
        <v/>
      </c>
      <c r="E455" s="152"/>
      <c r="F455" s="147" t="str">
        <f t="shared" si="51"/>
        <v/>
      </c>
      <c r="G455" s="199"/>
      <c r="H455" s="147" t="str">
        <f t="shared" si="52"/>
        <v/>
      </c>
      <c r="I455" s="196"/>
      <c r="J455" s="196"/>
      <c r="K455" s="196"/>
      <c r="M455" s="142" t="str">
        <f t="shared" si="53"/>
        <v/>
      </c>
      <c r="N455" s="142" t="str">
        <f t="shared" si="54"/>
        <v/>
      </c>
    </row>
    <row r="456" spans="1:14">
      <c r="A456" s="146" t="str">
        <f>IF(C456="","",VLOOKUP('Opći dio'!$C$3,'Opći dio'!$L$6:$U$136,10,FALSE))</f>
        <v/>
      </c>
      <c r="B456" s="146" t="str">
        <f>IF(C456="","",VLOOKUP('Opći dio'!$C$3,'Opći dio'!$L$6:$U$136,9,FALSE))</f>
        <v/>
      </c>
      <c r="C456" s="152"/>
      <c r="D456" s="147" t="str">
        <f t="shared" si="50"/>
        <v/>
      </c>
      <c r="E456" s="152"/>
      <c r="F456" s="147" t="str">
        <f t="shared" si="51"/>
        <v/>
      </c>
      <c r="G456" s="199"/>
      <c r="H456" s="147" t="str">
        <f t="shared" si="52"/>
        <v/>
      </c>
      <c r="I456" s="196"/>
      <c r="J456" s="196"/>
      <c r="K456" s="196"/>
      <c r="M456" s="142" t="str">
        <f t="shared" si="53"/>
        <v/>
      </c>
      <c r="N456" s="142" t="str">
        <f t="shared" si="54"/>
        <v/>
      </c>
    </row>
    <row r="457" spans="1:14">
      <c r="A457" s="146" t="str">
        <f>IF(C457="","",VLOOKUP('Opći dio'!$C$3,'Opći dio'!$L$6:$U$136,10,FALSE))</f>
        <v/>
      </c>
      <c r="B457" s="146" t="str">
        <f>IF(C457="","",VLOOKUP('Opći dio'!$C$3,'Opći dio'!$L$6:$U$136,9,FALSE))</f>
        <v/>
      </c>
      <c r="C457" s="152"/>
      <c r="D457" s="147" t="str">
        <f t="shared" si="50"/>
        <v/>
      </c>
      <c r="E457" s="152"/>
      <c r="F457" s="147" t="str">
        <f t="shared" si="51"/>
        <v/>
      </c>
      <c r="G457" s="199"/>
      <c r="H457" s="147" t="str">
        <f t="shared" si="52"/>
        <v/>
      </c>
      <c r="I457" s="196"/>
      <c r="J457" s="196"/>
      <c r="K457" s="196"/>
      <c r="M457" s="142" t="str">
        <f t="shared" si="53"/>
        <v/>
      </c>
      <c r="N457" s="142" t="str">
        <f t="shared" si="54"/>
        <v/>
      </c>
    </row>
    <row r="458" spans="1:14">
      <c r="A458" s="146" t="str">
        <f>IF(C458="","",VLOOKUP('Opći dio'!$C$3,'Opći dio'!$L$6:$U$136,10,FALSE))</f>
        <v/>
      </c>
      <c r="B458" s="146" t="str">
        <f>IF(C458="","",VLOOKUP('Opći dio'!$C$3,'Opći dio'!$L$6:$U$136,9,FALSE))</f>
        <v/>
      </c>
      <c r="C458" s="152"/>
      <c r="D458" s="147" t="str">
        <f t="shared" si="50"/>
        <v/>
      </c>
      <c r="E458" s="152"/>
      <c r="F458" s="147" t="str">
        <f t="shared" si="51"/>
        <v/>
      </c>
      <c r="G458" s="199"/>
      <c r="H458" s="147" t="str">
        <f t="shared" si="52"/>
        <v/>
      </c>
      <c r="I458" s="196"/>
      <c r="J458" s="196"/>
      <c r="K458" s="196"/>
      <c r="M458" s="142" t="str">
        <f t="shared" si="53"/>
        <v/>
      </c>
      <c r="N458" s="142" t="str">
        <f t="shared" si="54"/>
        <v/>
      </c>
    </row>
    <row r="459" spans="1:14">
      <c r="A459" s="146" t="str">
        <f>IF(C459="","",VLOOKUP('Opći dio'!$C$3,'Opći dio'!$L$6:$U$136,10,FALSE))</f>
        <v/>
      </c>
      <c r="B459" s="146" t="str">
        <f>IF(C459="","",VLOOKUP('Opći dio'!$C$3,'Opći dio'!$L$6:$U$136,9,FALSE))</f>
        <v/>
      </c>
      <c r="C459" s="152"/>
      <c r="D459" s="147" t="str">
        <f t="shared" si="50"/>
        <v/>
      </c>
      <c r="E459" s="152"/>
      <c r="F459" s="147" t="str">
        <f t="shared" si="51"/>
        <v/>
      </c>
      <c r="G459" s="199"/>
      <c r="H459" s="147" t="str">
        <f t="shared" si="52"/>
        <v/>
      </c>
      <c r="I459" s="196"/>
      <c r="J459" s="196"/>
      <c r="K459" s="196"/>
      <c r="M459" s="142" t="str">
        <f t="shared" si="53"/>
        <v/>
      </c>
      <c r="N459" s="142" t="str">
        <f t="shared" si="54"/>
        <v/>
      </c>
    </row>
    <row r="460" spans="1:14">
      <c r="A460" s="146" t="str">
        <f>IF(C460="","",VLOOKUP('Opći dio'!$C$3,'Opći dio'!$L$6:$U$136,10,FALSE))</f>
        <v/>
      </c>
      <c r="B460" s="146" t="str">
        <f>IF(C460="","",VLOOKUP('Opći dio'!$C$3,'Opći dio'!$L$6:$U$136,9,FALSE))</f>
        <v/>
      </c>
      <c r="C460" s="152"/>
      <c r="D460" s="147" t="str">
        <f t="shared" si="50"/>
        <v/>
      </c>
      <c r="E460" s="152"/>
      <c r="F460" s="147" t="str">
        <f t="shared" si="51"/>
        <v/>
      </c>
      <c r="G460" s="199"/>
      <c r="H460" s="147" t="str">
        <f t="shared" si="52"/>
        <v/>
      </c>
      <c r="I460" s="196"/>
      <c r="J460" s="196"/>
      <c r="K460" s="196"/>
      <c r="M460" s="142" t="str">
        <f t="shared" si="53"/>
        <v/>
      </c>
      <c r="N460" s="142" t="str">
        <f t="shared" si="54"/>
        <v/>
      </c>
    </row>
    <row r="461" spans="1:14">
      <c r="A461" s="146" t="str">
        <f>IF(C461="","",VLOOKUP('Opći dio'!$C$3,'Opći dio'!$L$6:$U$136,10,FALSE))</f>
        <v/>
      </c>
      <c r="B461" s="146" t="str">
        <f>IF(C461="","",VLOOKUP('Opći dio'!$C$3,'Opći dio'!$L$6:$U$136,9,FALSE))</f>
        <v/>
      </c>
      <c r="C461" s="152"/>
      <c r="D461" s="147" t="str">
        <f t="shared" si="50"/>
        <v/>
      </c>
      <c r="E461" s="152"/>
      <c r="F461" s="147" t="str">
        <f t="shared" si="51"/>
        <v/>
      </c>
      <c r="G461" s="199"/>
      <c r="H461" s="147" t="str">
        <f t="shared" si="52"/>
        <v/>
      </c>
      <c r="I461" s="196"/>
      <c r="J461" s="196"/>
      <c r="K461" s="196"/>
      <c r="M461" s="142" t="str">
        <f t="shared" si="53"/>
        <v/>
      </c>
      <c r="N461" s="142" t="str">
        <f t="shared" si="54"/>
        <v/>
      </c>
    </row>
    <row r="462" spans="1:14">
      <c r="A462" s="146" t="str">
        <f>IF(C462="","",VLOOKUP('Opći dio'!$C$3,'Opći dio'!$L$6:$U$136,10,FALSE))</f>
        <v/>
      </c>
      <c r="B462" s="146" t="str">
        <f>IF(C462="","",VLOOKUP('Opći dio'!$C$3,'Opći dio'!$L$6:$U$136,9,FALSE))</f>
        <v/>
      </c>
      <c r="C462" s="152"/>
      <c r="D462" s="147" t="str">
        <f t="shared" si="50"/>
        <v/>
      </c>
      <c r="E462" s="152"/>
      <c r="F462" s="147" t="str">
        <f t="shared" si="51"/>
        <v/>
      </c>
      <c r="G462" s="199"/>
      <c r="H462" s="147" t="str">
        <f t="shared" si="52"/>
        <v/>
      </c>
      <c r="I462" s="196"/>
      <c r="J462" s="196"/>
      <c r="K462" s="196"/>
      <c r="M462" s="142" t="str">
        <f t="shared" si="53"/>
        <v/>
      </c>
      <c r="N462" s="142" t="str">
        <f t="shared" si="54"/>
        <v/>
      </c>
    </row>
    <row r="463" spans="1:14">
      <c r="A463" s="146" t="str">
        <f>IF(C463="","",VLOOKUP('Opći dio'!$C$3,'Opći dio'!$L$6:$U$136,10,FALSE))</f>
        <v/>
      </c>
      <c r="B463" s="146" t="str">
        <f>IF(C463="","",VLOOKUP('Opći dio'!$C$3,'Opći dio'!$L$6:$U$136,9,FALSE))</f>
        <v/>
      </c>
      <c r="C463" s="152"/>
      <c r="D463" s="147" t="str">
        <f t="shared" si="50"/>
        <v/>
      </c>
      <c r="E463" s="152"/>
      <c r="F463" s="147" t="str">
        <f t="shared" si="51"/>
        <v/>
      </c>
      <c r="G463" s="199"/>
      <c r="H463" s="147" t="str">
        <f t="shared" si="52"/>
        <v/>
      </c>
      <c r="I463" s="196"/>
      <c r="J463" s="196"/>
      <c r="K463" s="196"/>
      <c r="M463" s="142" t="str">
        <f t="shared" si="53"/>
        <v/>
      </c>
      <c r="N463" s="142" t="str">
        <f t="shared" si="54"/>
        <v/>
      </c>
    </row>
    <row r="464" spans="1:14">
      <c r="A464" s="146" t="str">
        <f>IF(C464="","",VLOOKUP('Opći dio'!$C$3,'Opći dio'!$L$6:$U$136,10,FALSE))</f>
        <v/>
      </c>
      <c r="B464" s="146" t="str">
        <f>IF(C464="","",VLOOKUP('Opći dio'!$C$3,'Opći dio'!$L$6:$U$136,9,FALSE))</f>
        <v/>
      </c>
      <c r="C464" s="152"/>
      <c r="D464" s="147" t="str">
        <f t="shared" si="50"/>
        <v/>
      </c>
      <c r="E464" s="152"/>
      <c r="F464" s="147" t="str">
        <f t="shared" si="51"/>
        <v/>
      </c>
      <c r="G464" s="199"/>
      <c r="H464" s="147" t="str">
        <f t="shared" si="52"/>
        <v/>
      </c>
      <c r="I464" s="196"/>
      <c r="J464" s="196"/>
      <c r="K464" s="196"/>
      <c r="M464" s="142" t="str">
        <f t="shared" si="53"/>
        <v/>
      </c>
      <c r="N464" s="142" t="str">
        <f t="shared" si="54"/>
        <v/>
      </c>
    </row>
    <row r="465" spans="1:14">
      <c r="A465" s="146" t="str">
        <f>IF(C465="","",VLOOKUP('Opći dio'!$C$3,'Opći dio'!$L$6:$U$136,10,FALSE))</f>
        <v/>
      </c>
      <c r="B465" s="146" t="str">
        <f>IF(C465="","",VLOOKUP('Opći dio'!$C$3,'Opći dio'!$L$6:$U$136,9,FALSE))</f>
        <v/>
      </c>
      <c r="C465" s="152"/>
      <c r="D465" s="147" t="str">
        <f t="shared" si="50"/>
        <v/>
      </c>
      <c r="E465" s="152"/>
      <c r="F465" s="147" t="str">
        <f t="shared" si="51"/>
        <v/>
      </c>
      <c r="G465" s="199"/>
      <c r="H465" s="147" t="str">
        <f t="shared" si="52"/>
        <v/>
      </c>
      <c r="I465" s="196"/>
      <c r="J465" s="196"/>
      <c r="K465" s="196"/>
      <c r="M465" s="142" t="str">
        <f t="shared" si="53"/>
        <v/>
      </c>
      <c r="N465" s="142" t="str">
        <f t="shared" si="54"/>
        <v/>
      </c>
    </row>
    <row r="466" spans="1:14">
      <c r="A466" s="146" t="str">
        <f>IF(C466="","",VLOOKUP('Opći dio'!$C$3,'Opći dio'!$L$6:$U$136,10,FALSE))</f>
        <v/>
      </c>
      <c r="B466" s="146" t="str">
        <f>IF(C466="","",VLOOKUP('Opći dio'!$C$3,'Opći dio'!$L$6:$U$136,9,FALSE))</f>
        <v/>
      </c>
      <c r="C466" s="152"/>
      <c r="D466" s="147" t="str">
        <f t="shared" si="50"/>
        <v/>
      </c>
      <c r="E466" s="152"/>
      <c r="F466" s="147" t="str">
        <f t="shared" si="51"/>
        <v/>
      </c>
      <c r="G466" s="199"/>
      <c r="H466" s="147" t="str">
        <f t="shared" si="52"/>
        <v/>
      </c>
      <c r="I466" s="196"/>
      <c r="J466" s="196"/>
      <c r="K466" s="196"/>
      <c r="M466" s="142" t="str">
        <f t="shared" si="53"/>
        <v/>
      </c>
      <c r="N466" s="142" t="str">
        <f t="shared" si="54"/>
        <v/>
      </c>
    </row>
    <row r="467" spans="1:14">
      <c r="A467" s="146" t="str">
        <f>IF(C467="","",VLOOKUP('Opći dio'!$C$3,'Opći dio'!$L$6:$U$136,10,FALSE))</f>
        <v/>
      </c>
      <c r="B467" s="146" t="str">
        <f>IF(C467="","",VLOOKUP('Opći dio'!$C$3,'Opći dio'!$L$6:$U$136,9,FALSE))</f>
        <v/>
      </c>
      <c r="C467" s="152"/>
      <c r="D467" s="147" t="str">
        <f t="shared" si="50"/>
        <v/>
      </c>
      <c r="E467" s="152"/>
      <c r="F467" s="147" t="str">
        <f t="shared" si="51"/>
        <v/>
      </c>
      <c r="G467" s="199"/>
      <c r="H467" s="147" t="str">
        <f t="shared" si="52"/>
        <v/>
      </c>
      <c r="I467" s="196"/>
      <c r="J467" s="196"/>
      <c r="K467" s="196"/>
      <c r="M467" s="142" t="str">
        <f t="shared" si="53"/>
        <v/>
      </c>
      <c r="N467" s="142" t="str">
        <f t="shared" si="54"/>
        <v/>
      </c>
    </row>
    <row r="468" spans="1:14">
      <c r="A468" s="146" t="str">
        <f>IF(C468="","",VLOOKUP('Opći dio'!$C$3,'Opći dio'!$L$6:$U$136,10,FALSE))</f>
        <v/>
      </c>
      <c r="B468" s="146" t="str">
        <f>IF(C468="","",VLOOKUP('Opći dio'!$C$3,'Opći dio'!$L$6:$U$136,9,FALSE))</f>
        <v/>
      </c>
      <c r="C468" s="152"/>
      <c r="D468" s="147" t="str">
        <f t="shared" si="50"/>
        <v/>
      </c>
      <c r="E468" s="152"/>
      <c r="F468" s="147" t="str">
        <f t="shared" si="51"/>
        <v/>
      </c>
      <c r="G468" s="199"/>
      <c r="H468" s="147" t="str">
        <f t="shared" si="52"/>
        <v/>
      </c>
      <c r="I468" s="196"/>
      <c r="J468" s="196"/>
      <c r="K468" s="196"/>
      <c r="M468" s="142" t="str">
        <f t="shared" si="53"/>
        <v/>
      </c>
      <c r="N468" s="142" t="str">
        <f t="shared" si="54"/>
        <v/>
      </c>
    </row>
    <row r="469" spans="1:14">
      <c r="A469" s="146" t="str">
        <f>IF(C469="","",VLOOKUP('Opći dio'!$C$3,'Opći dio'!$L$6:$U$136,10,FALSE))</f>
        <v/>
      </c>
      <c r="B469" s="146" t="str">
        <f>IF(C469="","",VLOOKUP('Opći dio'!$C$3,'Opći dio'!$L$6:$U$136,9,FALSE))</f>
        <v/>
      </c>
      <c r="C469" s="152"/>
      <c r="D469" s="147" t="str">
        <f t="shared" si="50"/>
        <v/>
      </c>
      <c r="E469" s="152"/>
      <c r="F469" s="147" t="str">
        <f t="shared" si="51"/>
        <v/>
      </c>
      <c r="G469" s="199"/>
      <c r="H469" s="147" t="str">
        <f t="shared" si="52"/>
        <v/>
      </c>
      <c r="I469" s="196"/>
      <c r="J469" s="196"/>
      <c r="K469" s="196"/>
      <c r="M469" s="142" t="str">
        <f t="shared" si="53"/>
        <v/>
      </c>
      <c r="N469" s="142" t="str">
        <f t="shared" si="54"/>
        <v/>
      </c>
    </row>
    <row r="470" spans="1:14">
      <c r="A470" s="146" t="str">
        <f>IF(C470="","",VLOOKUP('Opći dio'!$C$3,'Opći dio'!$L$6:$U$136,10,FALSE))</f>
        <v/>
      </c>
      <c r="B470" s="146" t="str">
        <f>IF(C470="","",VLOOKUP('Opći dio'!$C$3,'Opći dio'!$L$6:$U$136,9,FALSE))</f>
        <v/>
      </c>
      <c r="C470" s="152"/>
      <c r="D470" s="147" t="str">
        <f t="shared" si="50"/>
        <v/>
      </c>
      <c r="E470" s="152"/>
      <c r="F470" s="147" t="str">
        <f t="shared" si="51"/>
        <v/>
      </c>
      <c r="G470" s="199"/>
      <c r="H470" s="147" t="str">
        <f t="shared" si="52"/>
        <v/>
      </c>
      <c r="I470" s="196"/>
      <c r="J470" s="196"/>
      <c r="K470" s="196"/>
      <c r="M470" s="142" t="str">
        <f t="shared" si="53"/>
        <v/>
      </c>
      <c r="N470" s="142" t="str">
        <f t="shared" si="54"/>
        <v/>
      </c>
    </row>
    <row r="471" spans="1:14">
      <c r="A471" s="146" t="str">
        <f>IF(C471="","",VLOOKUP('Opći dio'!$C$3,'Opći dio'!$L$6:$U$136,10,FALSE))</f>
        <v/>
      </c>
      <c r="B471" s="146" t="str">
        <f>IF(C471="","",VLOOKUP('Opći dio'!$C$3,'Opći dio'!$L$6:$U$136,9,FALSE))</f>
        <v/>
      </c>
      <c r="C471" s="152"/>
      <c r="D471" s="147" t="str">
        <f t="shared" si="50"/>
        <v/>
      </c>
      <c r="E471" s="152"/>
      <c r="F471" s="147" t="str">
        <f t="shared" si="51"/>
        <v/>
      </c>
      <c r="G471" s="199"/>
      <c r="H471" s="147" t="str">
        <f t="shared" si="52"/>
        <v/>
      </c>
      <c r="I471" s="196"/>
      <c r="J471" s="196"/>
      <c r="K471" s="196"/>
      <c r="M471" s="142" t="str">
        <f t="shared" si="53"/>
        <v/>
      </c>
      <c r="N471" s="142" t="str">
        <f t="shared" si="54"/>
        <v/>
      </c>
    </row>
    <row r="472" spans="1:14">
      <c r="A472" s="146" t="str">
        <f>IF(C472="","",VLOOKUP('Opći dio'!$C$3,'Opći dio'!$L$6:$U$136,10,FALSE))</f>
        <v/>
      </c>
      <c r="B472" s="146" t="str">
        <f>IF(C472="","",VLOOKUP('Opći dio'!$C$3,'Opći dio'!$L$6:$U$136,9,FALSE))</f>
        <v/>
      </c>
      <c r="C472" s="152"/>
      <c r="D472" s="147" t="str">
        <f t="shared" si="50"/>
        <v/>
      </c>
      <c r="E472" s="152"/>
      <c r="F472" s="147" t="str">
        <f t="shared" si="51"/>
        <v/>
      </c>
      <c r="G472" s="199"/>
      <c r="H472" s="147" t="str">
        <f t="shared" si="52"/>
        <v/>
      </c>
      <c r="I472" s="196"/>
      <c r="J472" s="196"/>
      <c r="K472" s="196"/>
      <c r="M472" s="142" t="str">
        <f t="shared" si="53"/>
        <v/>
      </c>
      <c r="N472" s="142" t="str">
        <f t="shared" si="54"/>
        <v/>
      </c>
    </row>
    <row r="473" spans="1:14">
      <c r="A473" s="146" t="str">
        <f>IF(C473="","",VLOOKUP('Opći dio'!$C$3,'Opći dio'!$L$6:$U$136,10,FALSE))</f>
        <v/>
      </c>
      <c r="B473" s="146" t="str">
        <f>IF(C473="","",VLOOKUP('Opći dio'!$C$3,'Opći dio'!$L$6:$U$136,9,FALSE))</f>
        <v/>
      </c>
      <c r="C473" s="152"/>
      <c r="D473" s="147" t="str">
        <f t="shared" si="50"/>
        <v/>
      </c>
      <c r="E473" s="152"/>
      <c r="F473" s="147" t="str">
        <f t="shared" si="51"/>
        <v/>
      </c>
      <c r="G473" s="199"/>
      <c r="H473" s="147" t="str">
        <f t="shared" si="52"/>
        <v/>
      </c>
      <c r="I473" s="196"/>
      <c r="J473" s="196"/>
      <c r="K473" s="196"/>
      <c r="M473" s="142" t="str">
        <f t="shared" si="53"/>
        <v/>
      </c>
      <c r="N473" s="142" t="str">
        <f t="shared" si="54"/>
        <v/>
      </c>
    </row>
    <row r="474" spans="1:14">
      <c r="A474" s="146" t="str">
        <f>IF(C474="","",VLOOKUP('Opći dio'!$C$3,'Opći dio'!$L$6:$U$136,10,FALSE))</f>
        <v/>
      </c>
      <c r="B474" s="146" t="str">
        <f>IF(C474="","",VLOOKUP('Opći dio'!$C$3,'Opći dio'!$L$6:$U$136,9,FALSE))</f>
        <v/>
      </c>
      <c r="C474" s="152"/>
      <c r="D474" s="147" t="str">
        <f t="shared" si="50"/>
        <v/>
      </c>
      <c r="E474" s="152"/>
      <c r="F474" s="147" t="str">
        <f t="shared" si="51"/>
        <v/>
      </c>
      <c r="G474" s="199"/>
      <c r="H474" s="147" t="str">
        <f t="shared" si="52"/>
        <v/>
      </c>
      <c r="I474" s="196"/>
      <c r="J474" s="196"/>
      <c r="K474" s="196"/>
      <c r="M474" s="142" t="str">
        <f t="shared" si="53"/>
        <v/>
      </c>
      <c r="N474" s="142" t="str">
        <f t="shared" si="54"/>
        <v/>
      </c>
    </row>
    <row r="475" spans="1:14">
      <c r="A475" s="146" t="str">
        <f>IF(C475="","",VLOOKUP('Opći dio'!$C$3,'Opći dio'!$L$6:$U$136,10,FALSE))</f>
        <v/>
      </c>
      <c r="B475" s="146" t="str">
        <f>IF(C475="","",VLOOKUP('Opći dio'!$C$3,'Opći dio'!$L$6:$U$136,9,FALSE))</f>
        <v/>
      </c>
      <c r="C475" s="152"/>
      <c r="D475" s="147" t="str">
        <f t="shared" si="50"/>
        <v/>
      </c>
      <c r="E475" s="152"/>
      <c r="F475" s="147" t="str">
        <f t="shared" si="51"/>
        <v/>
      </c>
      <c r="G475" s="199"/>
      <c r="H475" s="147" t="str">
        <f t="shared" si="52"/>
        <v/>
      </c>
      <c r="I475" s="196"/>
      <c r="J475" s="196"/>
      <c r="K475" s="196"/>
      <c r="M475" s="142" t="str">
        <f t="shared" si="53"/>
        <v/>
      </c>
      <c r="N475" s="142" t="str">
        <f t="shared" si="54"/>
        <v/>
      </c>
    </row>
    <row r="476" spans="1:14">
      <c r="A476" s="146" t="str">
        <f>IF(C476="","",VLOOKUP('Opći dio'!$C$3,'Opći dio'!$L$6:$U$136,10,FALSE))</f>
        <v/>
      </c>
      <c r="B476" s="146" t="str">
        <f>IF(C476="","",VLOOKUP('Opći dio'!$C$3,'Opći dio'!$L$6:$U$136,9,FALSE))</f>
        <v/>
      </c>
      <c r="C476" s="152"/>
      <c r="D476" s="147" t="str">
        <f t="shared" si="50"/>
        <v/>
      </c>
      <c r="E476" s="152"/>
      <c r="F476" s="147" t="str">
        <f t="shared" si="51"/>
        <v/>
      </c>
      <c r="G476" s="199"/>
      <c r="H476" s="147" t="str">
        <f t="shared" si="52"/>
        <v/>
      </c>
      <c r="I476" s="196"/>
      <c r="J476" s="196"/>
      <c r="K476" s="196"/>
      <c r="M476" s="142" t="str">
        <f t="shared" si="53"/>
        <v/>
      </c>
      <c r="N476" s="142" t="str">
        <f t="shared" si="54"/>
        <v/>
      </c>
    </row>
    <row r="477" spans="1:14">
      <c r="A477" s="146" t="str">
        <f>IF(C477="","",VLOOKUP('Opći dio'!$C$3,'Opći dio'!$L$6:$U$136,10,FALSE))</f>
        <v/>
      </c>
      <c r="B477" s="146" t="str">
        <f>IF(C477="","",VLOOKUP('Opći dio'!$C$3,'Opći dio'!$L$6:$U$136,9,FALSE))</f>
        <v/>
      </c>
      <c r="C477" s="152"/>
      <c r="D477" s="147" t="str">
        <f t="shared" si="50"/>
        <v/>
      </c>
      <c r="E477" s="152"/>
      <c r="F477" s="147" t="str">
        <f t="shared" si="51"/>
        <v/>
      </c>
      <c r="G477" s="199"/>
      <c r="H477" s="147" t="str">
        <f t="shared" si="52"/>
        <v/>
      </c>
      <c r="I477" s="196"/>
      <c r="J477" s="196"/>
      <c r="K477" s="196"/>
      <c r="M477" s="142" t="str">
        <f t="shared" si="53"/>
        <v/>
      </c>
      <c r="N477" s="142" t="str">
        <f t="shared" si="54"/>
        <v/>
      </c>
    </row>
    <row r="478" spans="1:14">
      <c r="A478" s="146" t="str">
        <f>IF(C478="","",VLOOKUP('Opći dio'!$C$3,'Opći dio'!$L$6:$U$136,10,FALSE))</f>
        <v/>
      </c>
      <c r="B478" s="146" t="str">
        <f>IF(C478="","",VLOOKUP('Opći dio'!$C$3,'Opći dio'!$L$6:$U$136,9,FALSE))</f>
        <v/>
      </c>
      <c r="C478" s="152"/>
      <c r="D478" s="147" t="str">
        <f t="shared" si="50"/>
        <v/>
      </c>
      <c r="E478" s="152"/>
      <c r="F478" s="147" t="str">
        <f t="shared" si="51"/>
        <v/>
      </c>
      <c r="G478" s="199"/>
      <c r="H478" s="147" t="str">
        <f t="shared" si="52"/>
        <v/>
      </c>
      <c r="I478" s="196"/>
      <c r="J478" s="196"/>
      <c r="K478" s="196"/>
      <c r="M478" s="142" t="str">
        <f t="shared" si="53"/>
        <v/>
      </c>
      <c r="N478" s="142" t="str">
        <f t="shared" si="54"/>
        <v/>
      </c>
    </row>
    <row r="479" spans="1:14">
      <c r="A479" s="146" t="str">
        <f>IF(C479="","",VLOOKUP('Opći dio'!$C$3,'Opći dio'!$L$6:$U$136,10,FALSE))</f>
        <v/>
      </c>
      <c r="B479" s="146" t="str">
        <f>IF(C479="","",VLOOKUP('Opći dio'!$C$3,'Opći dio'!$L$6:$U$136,9,FALSE))</f>
        <v/>
      </c>
      <c r="C479" s="152"/>
      <c r="D479" s="147" t="str">
        <f t="shared" si="50"/>
        <v/>
      </c>
      <c r="E479" s="152"/>
      <c r="F479" s="147" t="str">
        <f t="shared" si="51"/>
        <v/>
      </c>
      <c r="G479" s="199"/>
      <c r="H479" s="147" t="str">
        <f t="shared" si="52"/>
        <v/>
      </c>
      <c r="I479" s="196"/>
      <c r="J479" s="196"/>
      <c r="K479" s="196"/>
      <c r="M479" s="142" t="str">
        <f t="shared" si="53"/>
        <v/>
      </c>
      <c r="N479" s="142" t="str">
        <f t="shared" si="54"/>
        <v/>
      </c>
    </row>
    <row r="480" spans="1:14">
      <c r="A480" s="146" t="str">
        <f>IF(C480="","",VLOOKUP('Opći dio'!$C$3,'Opći dio'!$L$6:$U$136,10,FALSE))</f>
        <v/>
      </c>
      <c r="B480" s="146" t="str">
        <f>IF(C480="","",VLOOKUP('Opći dio'!$C$3,'Opći dio'!$L$6:$U$136,9,FALSE))</f>
        <v/>
      </c>
      <c r="C480" s="152"/>
      <c r="D480" s="147" t="str">
        <f t="shared" si="50"/>
        <v/>
      </c>
      <c r="E480" s="152"/>
      <c r="F480" s="147" t="str">
        <f t="shared" si="51"/>
        <v/>
      </c>
      <c r="G480" s="199"/>
      <c r="H480" s="147" t="str">
        <f t="shared" si="52"/>
        <v/>
      </c>
      <c r="I480" s="196"/>
      <c r="J480" s="196"/>
      <c r="K480" s="196"/>
      <c r="M480" s="142" t="str">
        <f t="shared" si="53"/>
        <v/>
      </c>
      <c r="N480" s="142" t="str">
        <f t="shared" si="54"/>
        <v/>
      </c>
    </row>
    <row r="481" spans="1:14">
      <c r="A481" s="146" t="str">
        <f>IF(C481="","",VLOOKUP('Opći dio'!$C$3,'Opći dio'!$L$6:$U$136,10,FALSE))</f>
        <v/>
      </c>
      <c r="B481" s="146" t="str">
        <f>IF(C481="","",VLOOKUP('Opći dio'!$C$3,'Opći dio'!$L$6:$U$136,9,FALSE))</f>
        <v/>
      </c>
      <c r="C481" s="152"/>
      <c r="D481" s="147" t="str">
        <f t="shared" si="50"/>
        <v/>
      </c>
      <c r="E481" s="152"/>
      <c r="F481" s="147" t="str">
        <f t="shared" si="51"/>
        <v/>
      </c>
      <c r="G481" s="199"/>
      <c r="H481" s="147" t="str">
        <f t="shared" si="52"/>
        <v/>
      </c>
      <c r="I481" s="196"/>
      <c r="J481" s="196"/>
      <c r="K481" s="196"/>
      <c r="M481" s="142" t="str">
        <f t="shared" si="53"/>
        <v/>
      </c>
      <c r="N481" s="142" t="str">
        <f t="shared" si="54"/>
        <v/>
      </c>
    </row>
    <row r="482" spans="1:14">
      <c r="A482" s="146" t="str">
        <f>IF(C482="","",VLOOKUP('Opći dio'!$C$3,'Opći dio'!$L$6:$U$136,10,FALSE))</f>
        <v/>
      </c>
      <c r="B482" s="146" t="str">
        <f>IF(C482="","",VLOOKUP('Opći dio'!$C$3,'Opći dio'!$L$6:$U$136,9,FALSE))</f>
        <v/>
      </c>
      <c r="C482" s="152"/>
      <c r="D482" s="147" t="str">
        <f t="shared" si="50"/>
        <v/>
      </c>
      <c r="E482" s="152"/>
      <c r="F482" s="147" t="str">
        <f t="shared" si="51"/>
        <v/>
      </c>
      <c r="G482" s="199"/>
      <c r="H482" s="147" t="str">
        <f t="shared" si="52"/>
        <v/>
      </c>
      <c r="I482" s="196"/>
      <c r="J482" s="196"/>
      <c r="K482" s="196"/>
      <c r="M482" s="142" t="str">
        <f t="shared" si="53"/>
        <v/>
      </c>
      <c r="N482" s="142" t="str">
        <f t="shared" si="54"/>
        <v/>
      </c>
    </row>
    <row r="483" spans="1:14">
      <c r="A483" s="146" t="str">
        <f>IF(C483="","",VLOOKUP('Opći dio'!$C$3,'Opći dio'!$L$6:$U$136,10,FALSE))</f>
        <v/>
      </c>
      <c r="B483" s="146" t="str">
        <f>IF(C483="","",VLOOKUP('Opći dio'!$C$3,'Opći dio'!$L$6:$U$136,9,FALSE))</f>
        <v/>
      </c>
      <c r="C483" s="152"/>
      <c r="D483" s="147" t="str">
        <f t="shared" si="50"/>
        <v/>
      </c>
      <c r="E483" s="152"/>
      <c r="F483" s="147" t="str">
        <f t="shared" si="51"/>
        <v/>
      </c>
      <c r="G483" s="199"/>
      <c r="H483" s="147" t="str">
        <f t="shared" si="52"/>
        <v/>
      </c>
      <c r="I483" s="196"/>
      <c r="J483" s="196"/>
      <c r="K483" s="196"/>
      <c r="M483" s="142" t="str">
        <f t="shared" si="53"/>
        <v/>
      </c>
      <c r="N483" s="142" t="str">
        <f t="shared" si="54"/>
        <v/>
      </c>
    </row>
    <row r="484" spans="1:14">
      <c r="A484" s="146" t="str">
        <f>IF(C484="","",VLOOKUP('Opći dio'!$C$3,'Opći dio'!$L$6:$U$136,10,FALSE))</f>
        <v/>
      </c>
      <c r="B484" s="146" t="str">
        <f>IF(C484="","",VLOOKUP('Opći dio'!$C$3,'Opći dio'!$L$6:$U$136,9,FALSE))</f>
        <v/>
      </c>
      <c r="C484" s="152"/>
      <c r="D484" s="147" t="str">
        <f t="shared" si="50"/>
        <v/>
      </c>
      <c r="E484" s="152"/>
      <c r="F484" s="147" t="str">
        <f t="shared" si="51"/>
        <v/>
      </c>
      <c r="G484" s="199"/>
      <c r="H484" s="147" t="str">
        <f t="shared" si="52"/>
        <v/>
      </c>
      <c r="I484" s="196"/>
      <c r="J484" s="196"/>
      <c r="K484" s="196"/>
      <c r="M484" s="142" t="str">
        <f t="shared" si="53"/>
        <v/>
      </c>
      <c r="N484" s="142" t="str">
        <f t="shared" si="54"/>
        <v/>
      </c>
    </row>
    <row r="485" spans="1:14">
      <c r="A485" s="146" t="str">
        <f>IF(C485="","",VLOOKUP('Opći dio'!$C$3,'Opći dio'!$L$6:$U$136,10,FALSE))</f>
        <v/>
      </c>
      <c r="B485" s="146" t="str">
        <f>IF(C485="","",VLOOKUP('Opći dio'!$C$3,'Opći dio'!$L$6:$U$136,9,FALSE))</f>
        <v/>
      </c>
      <c r="C485" s="152"/>
      <c r="D485" s="147" t="str">
        <f t="shared" si="50"/>
        <v/>
      </c>
      <c r="E485" s="152"/>
      <c r="F485" s="147" t="str">
        <f t="shared" si="51"/>
        <v/>
      </c>
      <c r="G485" s="199"/>
      <c r="H485" s="147" t="str">
        <f t="shared" si="52"/>
        <v/>
      </c>
      <c r="I485" s="196"/>
      <c r="J485" s="196"/>
      <c r="K485" s="196"/>
      <c r="M485" s="142" t="str">
        <f t="shared" si="53"/>
        <v/>
      </c>
      <c r="N485" s="142" t="str">
        <f t="shared" si="54"/>
        <v/>
      </c>
    </row>
    <row r="486" spans="1:14">
      <c r="A486" s="146" t="str">
        <f>IF(C486="","",VLOOKUP('Opći dio'!$C$3,'Opći dio'!$L$6:$U$136,10,FALSE))</f>
        <v/>
      </c>
      <c r="B486" s="146" t="str">
        <f>IF(C486="","",VLOOKUP('Opći dio'!$C$3,'Opći dio'!$L$6:$U$136,9,FALSE))</f>
        <v/>
      </c>
      <c r="C486" s="152"/>
      <c r="D486" s="147" t="str">
        <f t="shared" si="50"/>
        <v/>
      </c>
      <c r="E486" s="152"/>
      <c r="F486" s="147" t="str">
        <f t="shared" si="51"/>
        <v/>
      </c>
      <c r="G486" s="199"/>
      <c r="H486" s="147" t="str">
        <f t="shared" si="52"/>
        <v/>
      </c>
      <c r="I486" s="196"/>
      <c r="J486" s="196"/>
      <c r="K486" s="196"/>
      <c r="M486" s="142" t="str">
        <f t="shared" si="53"/>
        <v/>
      </c>
      <c r="N486" s="142" t="str">
        <f t="shared" si="54"/>
        <v/>
      </c>
    </row>
    <row r="487" spans="1:14">
      <c r="A487" s="146" t="str">
        <f>IF(C487="","",VLOOKUP('Opći dio'!$C$3,'Opći dio'!$L$6:$U$136,10,FALSE))</f>
        <v/>
      </c>
      <c r="B487" s="146" t="str">
        <f>IF(C487="","",VLOOKUP('Opći dio'!$C$3,'Opći dio'!$L$6:$U$136,9,FALSE))</f>
        <v/>
      </c>
      <c r="C487" s="152"/>
      <c r="D487" s="147" t="str">
        <f t="shared" si="50"/>
        <v/>
      </c>
      <c r="E487" s="152"/>
      <c r="F487" s="147" t="str">
        <f t="shared" si="51"/>
        <v/>
      </c>
      <c r="G487" s="199"/>
      <c r="H487" s="147" t="str">
        <f t="shared" si="52"/>
        <v/>
      </c>
      <c r="I487" s="196"/>
      <c r="J487" s="196"/>
      <c r="K487" s="196"/>
      <c r="M487" s="142" t="str">
        <f t="shared" si="53"/>
        <v/>
      </c>
      <c r="N487" s="142" t="str">
        <f t="shared" si="54"/>
        <v/>
      </c>
    </row>
    <row r="488" spans="1:14">
      <c r="A488" s="146" t="str">
        <f>IF(C488="","",VLOOKUP('Opći dio'!$C$3,'Opći dio'!$L$6:$U$136,10,FALSE))</f>
        <v/>
      </c>
      <c r="B488" s="146" t="str">
        <f>IF(C488="","",VLOOKUP('Opći dio'!$C$3,'Opći dio'!$L$6:$U$136,9,FALSE))</f>
        <v/>
      </c>
      <c r="C488" s="152"/>
      <c r="D488" s="147" t="str">
        <f t="shared" si="50"/>
        <v/>
      </c>
      <c r="E488" s="152"/>
      <c r="F488" s="147" t="str">
        <f t="shared" si="51"/>
        <v/>
      </c>
      <c r="G488" s="199"/>
      <c r="H488" s="147" t="str">
        <f t="shared" si="52"/>
        <v/>
      </c>
      <c r="I488" s="196"/>
      <c r="J488" s="196"/>
      <c r="K488" s="196"/>
      <c r="M488" s="142" t="str">
        <f t="shared" si="53"/>
        <v/>
      </c>
      <c r="N488" s="142" t="str">
        <f t="shared" si="54"/>
        <v/>
      </c>
    </row>
    <row r="489" spans="1:14">
      <c r="A489" s="146" t="str">
        <f>IF(C489="","",VLOOKUP('Opći dio'!$C$3,'Opći dio'!$L$6:$U$136,10,FALSE))</f>
        <v/>
      </c>
      <c r="B489" s="146" t="str">
        <f>IF(C489="","",VLOOKUP('Opći dio'!$C$3,'Opći dio'!$L$6:$U$136,9,FALSE))</f>
        <v/>
      </c>
      <c r="C489" s="152"/>
      <c r="D489" s="147" t="str">
        <f t="shared" si="50"/>
        <v/>
      </c>
      <c r="E489" s="152"/>
      <c r="F489" s="147" t="str">
        <f t="shared" si="51"/>
        <v/>
      </c>
      <c r="G489" s="199"/>
      <c r="H489" s="147" t="str">
        <f t="shared" si="52"/>
        <v/>
      </c>
      <c r="I489" s="196"/>
      <c r="J489" s="196"/>
      <c r="K489" s="196"/>
      <c r="M489" s="142" t="str">
        <f t="shared" si="53"/>
        <v/>
      </c>
      <c r="N489" s="142" t="str">
        <f t="shared" si="54"/>
        <v/>
      </c>
    </row>
    <row r="490" spans="1:14">
      <c r="A490" s="146" t="str">
        <f>IF(C490="","",VLOOKUP('Opći dio'!$C$3,'Opći dio'!$L$6:$U$136,10,FALSE))</f>
        <v/>
      </c>
      <c r="B490" s="146" t="str">
        <f>IF(C490="","",VLOOKUP('Opći dio'!$C$3,'Opći dio'!$L$6:$U$136,9,FALSE))</f>
        <v/>
      </c>
      <c r="C490" s="152"/>
      <c r="D490" s="147" t="str">
        <f t="shared" si="50"/>
        <v/>
      </c>
      <c r="E490" s="152"/>
      <c r="F490" s="147" t="str">
        <f t="shared" si="51"/>
        <v/>
      </c>
      <c r="G490" s="199"/>
      <c r="H490" s="147" t="str">
        <f t="shared" si="52"/>
        <v/>
      </c>
      <c r="I490" s="196"/>
      <c r="J490" s="196"/>
      <c r="K490" s="196"/>
      <c r="M490" s="142" t="str">
        <f t="shared" si="53"/>
        <v/>
      </c>
      <c r="N490" s="142" t="str">
        <f t="shared" si="54"/>
        <v/>
      </c>
    </row>
    <row r="491" spans="1:14">
      <c r="A491" s="146" t="str">
        <f>IF(C491="","",VLOOKUP('Opći dio'!$C$3,'Opći dio'!$L$6:$U$136,10,FALSE))</f>
        <v/>
      </c>
      <c r="B491" s="146" t="str">
        <f>IF(C491="","",VLOOKUP('Opći dio'!$C$3,'Opći dio'!$L$6:$U$136,9,FALSE))</f>
        <v/>
      </c>
      <c r="C491" s="152"/>
      <c r="D491" s="147" t="str">
        <f t="shared" si="50"/>
        <v/>
      </c>
      <c r="E491" s="152"/>
      <c r="F491" s="147" t="str">
        <f t="shared" si="51"/>
        <v/>
      </c>
      <c r="G491" s="199"/>
      <c r="H491" s="147" t="str">
        <f t="shared" si="52"/>
        <v/>
      </c>
      <c r="I491" s="196"/>
      <c r="J491" s="196"/>
      <c r="K491" s="196"/>
      <c r="M491" s="142" t="str">
        <f t="shared" si="53"/>
        <v/>
      </c>
      <c r="N491" s="142" t="str">
        <f t="shared" si="54"/>
        <v/>
      </c>
    </row>
    <row r="492" spans="1:14">
      <c r="A492" s="146" t="str">
        <f>IF(C492="","",VLOOKUP('Opći dio'!$C$3,'Opći dio'!$L$6:$U$136,10,FALSE))</f>
        <v/>
      </c>
      <c r="B492" s="146" t="str">
        <f>IF(C492="","",VLOOKUP('Opći dio'!$C$3,'Opći dio'!$L$6:$U$136,9,FALSE))</f>
        <v/>
      </c>
      <c r="C492" s="152"/>
      <c r="D492" s="147" t="str">
        <f t="shared" si="50"/>
        <v/>
      </c>
      <c r="E492" s="152"/>
      <c r="F492" s="147" t="str">
        <f t="shared" si="51"/>
        <v/>
      </c>
      <c r="G492" s="199"/>
      <c r="H492" s="147" t="str">
        <f t="shared" si="52"/>
        <v/>
      </c>
      <c r="I492" s="196"/>
      <c r="J492" s="196"/>
      <c r="K492" s="196"/>
      <c r="M492" s="142" t="str">
        <f t="shared" si="53"/>
        <v/>
      </c>
      <c r="N492" s="142" t="str">
        <f t="shared" si="54"/>
        <v/>
      </c>
    </row>
    <row r="493" spans="1:14">
      <c r="A493" s="146" t="str">
        <f>IF(C493="","",VLOOKUP('Opći dio'!$C$3,'Opći dio'!$L$6:$U$136,10,FALSE))</f>
        <v/>
      </c>
      <c r="B493" s="146" t="str">
        <f>IF(C493="","",VLOOKUP('Opći dio'!$C$3,'Opći dio'!$L$6:$U$136,9,FALSE))</f>
        <v/>
      </c>
      <c r="C493" s="152"/>
      <c r="D493" s="147" t="str">
        <f t="shared" si="50"/>
        <v/>
      </c>
      <c r="E493" s="152"/>
      <c r="F493" s="147" t="str">
        <f t="shared" si="51"/>
        <v/>
      </c>
      <c r="G493" s="199"/>
      <c r="H493" s="147" t="str">
        <f t="shared" si="52"/>
        <v/>
      </c>
      <c r="I493" s="196"/>
      <c r="J493" s="196"/>
      <c r="K493" s="196"/>
      <c r="M493" s="142" t="str">
        <f t="shared" si="53"/>
        <v/>
      </c>
      <c r="N493" s="142" t="str">
        <f t="shared" si="54"/>
        <v/>
      </c>
    </row>
    <row r="494" spans="1:14">
      <c r="A494" s="146" t="str">
        <f>IF(C494="","",VLOOKUP('Opći dio'!$C$3,'Opći dio'!$L$6:$U$136,10,FALSE))</f>
        <v/>
      </c>
      <c r="B494" s="146" t="str">
        <f>IF(C494="","",VLOOKUP('Opći dio'!$C$3,'Opći dio'!$L$6:$U$136,9,FALSE))</f>
        <v/>
      </c>
      <c r="C494" s="152"/>
      <c r="D494" s="147" t="str">
        <f t="shared" si="50"/>
        <v/>
      </c>
      <c r="E494" s="152"/>
      <c r="F494" s="147" t="str">
        <f t="shared" si="51"/>
        <v/>
      </c>
      <c r="G494" s="199"/>
      <c r="H494" s="147" t="str">
        <f t="shared" si="52"/>
        <v/>
      </c>
      <c r="I494" s="196"/>
      <c r="J494" s="196"/>
      <c r="K494" s="196"/>
      <c r="M494" s="142" t="str">
        <f t="shared" si="53"/>
        <v/>
      </c>
      <c r="N494" s="142" t="str">
        <f t="shared" si="54"/>
        <v/>
      </c>
    </row>
    <row r="495" spans="1:14">
      <c r="A495" s="146" t="str">
        <f>IF(C495="","",VLOOKUP('Opći dio'!$C$3,'Opći dio'!$L$6:$U$136,10,FALSE))</f>
        <v/>
      </c>
      <c r="B495" s="146" t="str">
        <f>IF(C495="","",VLOOKUP('Opći dio'!$C$3,'Opći dio'!$L$6:$U$136,9,FALSE))</f>
        <v/>
      </c>
      <c r="C495" s="152"/>
      <c r="D495" s="147" t="str">
        <f t="shared" si="50"/>
        <v/>
      </c>
      <c r="E495" s="152"/>
      <c r="F495" s="147" t="str">
        <f t="shared" si="51"/>
        <v/>
      </c>
      <c r="G495" s="199"/>
      <c r="H495" s="147" t="str">
        <f t="shared" si="52"/>
        <v/>
      </c>
      <c r="I495" s="196"/>
      <c r="J495" s="196"/>
      <c r="K495" s="196"/>
      <c r="M495" s="142" t="str">
        <f t="shared" si="53"/>
        <v/>
      </c>
      <c r="N495" s="142" t="str">
        <f t="shared" si="54"/>
        <v/>
      </c>
    </row>
    <row r="496" spans="1:14">
      <c r="A496" s="146" t="str">
        <f>IF(C496="","",VLOOKUP('Opći dio'!$C$3,'Opći dio'!$L$6:$U$136,10,FALSE))</f>
        <v/>
      </c>
      <c r="B496" s="146" t="str">
        <f>IF(C496="","",VLOOKUP('Opći dio'!$C$3,'Opći dio'!$L$6:$U$136,9,FALSE))</f>
        <v/>
      </c>
      <c r="C496" s="152"/>
      <c r="D496" s="147" t="str">
        <f t="shared" si="50"/>
        <v/>
      </c>
      <c r="E496" s="152"/>
      <c r="F496" s="147" t="str">
        <f t="shared" si="51"/>
        <v/>
      </c>
      <c r="G496" s="199"/>
      <c r="H496" s="147" t="str">
        <f t="shared" si="52"/>
        <v/>
      </c>
      <c r="I496" s="196"/>
      <c r="J496" s="196"/>
      <c r="K496" s="196"/>
      <c r="M496" s="142" t="str">
        <f t="shared" si="53"/>
        <v/>
      </c>
      <c r="N496" s="142" t="str">
        <f t="shared" si="54"/>
        <v/>
      </c>
    </row>
    <row r="497" spans="1:14">
      <c r="A497" s="146" t="str">
        <f>IF(C497="","",VLOOKUP('Opći dio'!$C$3,'Opći dio'!$L$6:$U$136,10,FALSE))</f>
        <v/>
      </c>
      <c r="B497" s="146" t="str">
        <f>IF(C497="","",VLOOKUP('Opći dio'!$C$3,'Opći dio'!$L$6:$U$136,9,FALSE))</f>
        <v/>
      </c>
      <c r="C497" s="152"/>
      <c r="D497" s="147" t="str">
        <f t="shared" si="50"/>
        <v/>
      </c>
      <c r="E497" s="152"/>
      <c r="F497" s="147" t="str">
        <f t="shared" si="51"/>
        <v/>
      </c>
      <c r="G497" s="199"/>
      <c r="H497" s="147" t="str">
        <f t="shared" si="52"/>
        <v/>
      </c>
      <c r="I497" s="196"/>
      <c r="J497" s="196"/>
      <c r="K497" s="196"/>
      <c r="M497" s="142" t="str">
        <f t="shared" si="53"/>
        <v/>
      </c>
      <c r="N497" s="142" t="str">
        <f t="shared" si="54"/>
        <v/>
      </c>
    </row>
    <row r="498" spans="1:14">
      <c r="A498" s="146" t="str">
        <f>IF(C498="","",VLOOKUP('Opći dio'!$C$3,'Opći dio'!$L$6:$U$136,10,FALSE))</f>
        <v/>
      </c>
      <c r="B498" s="146" t="str">
        <f>IF(C498="","",VLOOKUP('Opći dio'!$C$3,'Opći dio'!$L$6:$U$136,9,FALSE))</f>
        <v/>
      </c>
      <c r="C498" s="152"/>
      <c r="D498" s="147" t="str">
        <f t="shared" si="50"/>
        <v/>
      </c>
      <c r="E498" s="152"/>
      <c r="F498" s="147" t="str">
        <f t="shared" si="51"/>
        <v/>
      </c>
      <c r="G498" s="199"/>
      <c r="H498" s="147" t="str">
        <f t="shared" si="52"/>
        <v/>
      </c>
      <c r="I498" s="196"/>
      <c r="J498" s="196"/>
      <c r="K498" s="196"/>
      <c r="M498" s="142" t="str">
        <f t="shared" si="53"/>
        <v/>
      </c>
      <c r="N498" s="142" t="str">
        <f t="shared" si="54"/>
        <v/>
      </c>
    </row>
    <row r="499" spans="1:14">
      <c r="A499" s="146" t="str">
        <f>IF(C499="","",VLOOKUP('Opći dio'!$C$3,'Opći dio'!$L$6:$U$136,10,FALSE))</f>
        <v/>
      </c>
      <c r="B499" s="146" t="str">
        <f>IF(C499="","",VLOOKUP('Opći dio'!$C$3,'Opći dio'!$L$6:$U$136,9,FALSE))</f>
        <v/>
      </c>
      <c r="C499" s="152"/>
      <c r="D499" s="147" t="str">
        <f t="shared" si="50"/>
        <v/>
      </c>
      <c r="E499" s="152"/>
      <c r="F499" s="147" t="str">
        <f t="shared" si="51"/>
        <v/>
      </c>
      <c r="G499" s="199"/>
      <c r="H499" s="147" t="str">
        <f t="shared" si="52"/>
        <v/>
      </c>
      <c r="I499" s="196"/>
      <c r="J499" s="196"/>
      <c r="K499" s="196"/>
      <c r="M499" s="142" t="str">
        <f t="shared" si="53"/>
        <v/>
      </c>
      <c r="N499" s="142" t="str">
        <f t="shared" si="54"/>
        <v/>
      </c>
    </row>
    <row r="500" spans="1:14">
      <c r="A500" s="146" t="str">
        <f>IF(C500="","",VLOOKUP('Opći dio'!$C$3,'Opći dio'!$L$6:$U$136,10,FALSE))</f>
        <v/>
      </c>
      <c r="B500" s="146" t="str">
        <f>IF(C500="","",VLOOKUP('Opći dio'!$C$3,'Opći dio'!$L$6:$U$136,9,FALSE))</f>
        <v/>
      </c>
      <c r="C500" s="152"/>
      <c r="D500" s="147" t="str">
        <f t="shared" si="50"/>
        <v/>
      </c>
      <c r="E500" s="152"/>
      <c r="F500" s="147" t="str">
        <f t="shared" si="51"/>
        <v/>
      </c>
      <c r="G500" s="199"/>
      <c r="H500" s="147" t="str">
        <f t="shared" si="52"/>
        <v/>
      </c>
      <c r="I500" s="196"/>
      <c r="J500" s="196"/>
      <c r="K500" s="196"/>
      <c r="M500" s="142" t="str">
        <f t="shared" si="53"/>
        <v/>
      </c>
      <c r="N500" s="142" t="str">
        <f t="shared" si="54"/>
        <v/>
      </c>
    </row>
    <row r="501" spans="1:14">
      <c r="A501" s="146" t="str">
        <f>IF(C501="","",VLOOKUP('Opći dio'!$C$3,'Opći dio'!$L$6:$U$136,10,FALSE))</f>
        <v/>
      </c>
      <c r="B501" s="146" t="str">
        <f>IF(C501="","",VLOOKUP('Opći dio'!$C$3,'Opći dio'!$L$6:$U$136,9,FALSE))</f>
        <v/>
      </c>
      <c r="C501" s="152"/>
      <c r="D501" s="147" t="str">
        <f t="shared" si="50"/>
        <v/>
      </c>
      <c r="E501" s="152"/>
      <c r="F501" s="147" t="str">
        <f t="shared" si="51"/>
        <v/>
      </c>
      <c r="G501" s="199"/>
      <c r="H501" s="147" t="str">
        <f t="shared" si="52"/>
        <v/>
      </c>
      <c r="I501" s="196"/>
      <c r="J501" s="196"/>
      <c r="K501" s="196"/>
      <c r="M501" s="142" t="str">
        <f t="shared" si="53"/>
        <v/>
      </c>
      <c r="N501" s="142" t="str">
        <f t="shared" si="54"/>
        <v/>
      </c>
    </row>
    <row r="502" spans="1:14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$O$6:$O$22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$X$6:$X$171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33"/>
  <sheetViews>
    <sheetView showGridLines="0" zoomScale="90" zoomScaleNormal="90" workbookViewId="0">
      <pane ySplit="2" topLeftCell="A6" activePane="bottomLeft" state="frozen"/>
      <selection pane="bottomLeft" activeCell="K5" sqref="K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66" customWidth="1"/>
    <col min="9" max="21" width="13.85546875" style="1" customWidth="1"/>
    <col min="22" max="22" width="7.85546875" style="1" customWidth="1"/>
    <col min="23" max="16384" width="11.42578125" style="1"/>
  </cols>
  <sheetData>
    <row r="1" spans="1:27" ht="15.6" customHeight="1">
      <c r="A1" s="273" t="s">
        <v>289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48"/>
    </row>
    <row r="2" spans="1:27" s="91" customFormat="1">
      <c r="A2" s="90"/>
      <c r="B2" s="90"/>
      <c r="C2" s="90"/>
      <c r="T2" s="92" t="s">
        <v>290</v>
      </c>
      <c r="U2" s="92"/>
    </row>
    <row r="3" spans="1:27" s="91" customFormat="1" ht="15.6" customHeight="1">
      <c r="A3" s="274" t="s">
        <v>291</v>
      </c>
      <c r="B3" s="275"/>
      <c r="C3" s="276" t="s">
        <v>51</v>
      </c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8"/>
      <c r="U3" s="250"/>
    </row>
    <row r="4" spans="1:27" s="91" customFormat="1" ht="89.25">
      <c r="A4" s="93" t="s">
        <v>292</v>
      </c>
      <c r="B4" s="93" t="s">
        <v>293</v>
      </c>
      <c r="C4" s="195" t="s">
        <v>294</v>
      </c>
      <c r="D4" s="251" t="s">
        <v>375</v>
      </c>
      <c r="E4" s="251" t="s">
        <v>347</v>
      </c>
      <c r="F4" s="252" t="s">
        <v>19</v>
      </c>
      <c r="G4" s="252" t="s">
        <v>1667</v>
      </c>
      <c r="H4" s="252" t="s">
        <v>20</v>
      </c>
      <c r="I4" s="252" t="s">
        <v>295</v>
      </c>
      <c r="J4" s="252" t="s">
        <v>296</v>
      </c>
      <c r="K4" s="252" t="s">
        <v>1668</v>
      </c>
      <c r="L4" s="252" t="s">
        <v>297</v>
      </c>
      <c r="M4" s="252" t="s">
        <v>298</v>
      </c>
      <c r="N4" s="252" t="s">
        <v>299</v>
      </c>
      <c r="O4" s="252" t="s">
        <v>1669</v>
      </c>
      <c r="P4" s="252" t="s">
        <v>1670</v>
      </c>
      <c r="Q4" s="252" t="s">
        <v>300</v>
      </c>
      <c r="R4" s="94" t="s">
        <v>301</v>
      </c>
      <c r="S4" s="94" t="s">
        <v>339</v>
      </c>
      <c r="T4" s="94" t="s">
        <v>1638</v>
      </c>
      <c r="U4" s="94" t="s">
        <v>1640</v>
      </c>
    </row>
    <row r="5" spans="1:27" s="91" customFormat="1" ht="19.5" customHeight="1">
      <c r="A5" s="96"/>
      <c r="B5" s="97" t="s">
        <v>11</v>
      </c>
      <c r="C5" s="71">
        <f>SUM(D5:U5)</f>
        <v>138750</v>
      </c>
      <c r="D5" s="3"/>
      <c r="E5" s="3"/>
      <c r="F5" s="3"/>
      <c r="G5" s="3"/>
      <c r="H5" s="3"/>
      <c r="I5" s="3"/>
      <c r="J5" s="3">
        <v>138750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95"/>
      <c r="W5" s="95"/>
      <c r="X5" s="95"/>
      <c r="Y5" s="95"/>
      <c r="Z5" s="95"/>
      <c r="AA5" s="95"/>
    </row>
    <row r="6" spans="1:27" s="91" customFormat="1">
      <c r="A6" s="115"/>
      <c r="B6" s="116" t="s">
        <v>371</v>
      </c>
      <c r="C6" s="71">
        <f>SUM(D6:U6)</f>
        <v>137143478</v>
      </c>
      <c r="D6" s="15">
        <f>+D27+D34</f>
        <v>91667900</v>
      </c>
      <c r="E6" s="15">
        <f t="shared" ref="E6:T6" si="0">+E27+E34</f>
        <v>4900830</v>
      </c>
      <c r="F6" s="15">
        <f t="shared" si="0"/>
        <v>3088000</v>
      </c>
      <c r="G6" s="15">
        <f t="shared" ref="G6" si="1">+G27+G34</f>
        <v>0</v>
      </c>
      <c r="H6" s="15">
        <f t="shared" si="0"/>
        <v>1170000</v>
      </c>
      <c r="I6" s="15">
        <f t="shared" si="0"/>
        <v>0</v>
      </c>
      <c r="J6" s="15">
        <f t="shared" si="0"/>
        <v>3544361</v>
      </c>
      <c r="K6" s="15">
        <f t="shared" ref="K6" si="2">+K27+K34</f>
        <v>0</v>
      </c>
      <c r="L6" s="15">
        <f t="shared" si="0"/>
        <v>0</v>
      </c>
      <c r="M6" s="15">
        <f t="shared" si="0"/>
        <v>27771387</v>
      </c>
      <c r="N6" s="15">
        <f t="shared" si="0"/>
        <v>0</v>
      </c>
      <c r="O6" s="15">
        <f t="shared" ref="O6:P6" si="3">+O27+O34</f>
        <v>0</v>
      </c>
      <c r="P6" s="15">
        <f t="shared" si="3"/>
        <v>0</v>
      </c>
      <c r="Q6" s="15">
        <f t="shared" si="0"/>
        <v>5000000</v>
      </c>
      <c r="R6" s="15">
        <f t="shared" si="0"/>
        <v>0</v>
      </c>
      <c r="S6" s="15">
        <f t="shared" si="0"/>
        <v>1000</v>
      </c>
      <c r="T6" s="15">
        <f t="shared" si="0"/>
        <v>0</v>
      </c>
      <c r="U6" s="15">
        <f t="shared" ref="U6" si="4">+U27+U34</f>
        <v>0</v>
      </c>
    </row>
    <row r="7" spans="1:27" s="91" customFormat="1" ht="21.75" customHeight="1">
      <c r="A7" s="96"/>
      <c r="B7" s="97" t="s">
        <v>374</v>
      </c>
      <c r="C7" s="71">
        <f t="shared" ref="C7:C40" si="5">SUM(D7:U7)</f>
        <v>0</v>
      </c>
      <c r="D7" s="114">
        <v>0</v>
      </c>
      <c r="E7" s="114"/>
      <c r="F7" s="114"/>
      <c r="G7" s="114"/>
      <c r="H7" s="114"/>
      <c r="I7" s="114"/>
      <c r="J7" s="114"/>
      <c r="K7" s="114"/>
      <c r="L7" s="3"/>
      <c r="M7" s="114"/>
      <c r="N7" s="114"/>
      <c r="O7" s="114"/>
      <c r="P7" s="114"/>
      <c r="Q7" s="114"/>
      <c r="R7" s="114"/>
      <c r="S7" s="114"/>
      <c r="T7" s="114"/>
      <c r="U7" s="114"/>
      <c r="V7" s="95"/>
      <c r="W7" s="95"/>
      <c r="X7" s="95"/>
      <c r="Y7" s="95"/>
      <c r="Z7" s="95"/>
      <c r="AA7" s="95"/>
    </row>
    <row r="8" spans="1:27" s="91" customFormat="1">
      <c r="A8" s="115"/>
      <c r="B8" s="116" t="s">
        <v>302</v>
      </c>
      <c r="C8" s="71">
        <f t="shared" si="5"/>
        <v>137282228</v>
      </c>
      <c r="D8" s="15">
        <f>+D5+D6+D7</f>
        <v>91667900</v>
      </c>
      <c r="E8" s="15">
        <f t="shared" ref="E8:T8" si="6">+E5+E6+E7</f>
        <v>4900830</v>
      </c>
      <c r="F8" s="15">
        <f t="shared" si="6"/>
        <v>3088000</v>
      </c>
      <c r="G8" s="15">
        <f t="shared" ref="G8" si="7">+G5+G6+G7</f>
        <v>0</v>
      </c>
      <c r="H8" s="15">
        <f t="shared" si="6"/>
        <v>1170000</v>
      </c>
      <c r="I8" s="15">
        <f t="shared" si="6"/>
        <v>0</v>
      </c>
      <c r="J8" s="15">
        <f t="shared" si="6"/>
        <v>3683111</v>
      </c>
      <c r="K8" s="15">
        <f t="shared" ref="K8" si="8">+K5+K6+K7</f>
        <v>0</v>
      </c>
      <c r="L8" s="15">
        <f t="shared" si="6"/>
        <v>0</v>
      </c>
      <c r="M8" s="15">
        <f t="shared" si="6"/>
        <v>27771387</v>
      </c>
      <c r="N8" s="15">
        <f t="shared" si="6"/>
        <v>0</v>
      </c>
      <c r="O8" s="15">
        <f t="shared" ref="O8:P8" si="9">+O5+O6+O7</f>
        <v>0</v>
      </c>
      <c r="P8" s="15">
        <f t="shared" si="9"/>
        <v>0</v>
      </c>
      <c r="Q8" s="15">
        <f t="shared" si="6"/>
        <v>5000000</v>
      </c>
      <c r="R8" s="15">
        <f t="shared" si="6"/>
        <v>0</v>
      </c>
      <c r="S8" s="15">
        <f t="shared" si="6"/>
        <v>1000</v>
      </c>
      <c r="T8" s="15">
        <f t="shared" si="6"/>
        <v>0</v>
      </c>
      <c r="U8" s="15">
        <f t="shared" ref="U8" si="10">+U5+U6+U7</f>
        <v>0</v>
      </c>
    </row>
    <row r="9" spans="1:27" s="91" customFormat="1">
      <c r="A9" s="112"/>
      <c r="B9" s="113" t="s">
        <v>249</v>
      </c>
      <c r="C9" s="71">
        <f t="shared" si="5"/>
        <v>142282228</v>
      </c>
      <c r="D9" s="137">
        <f>+'PLAN RASHODA I IZDATAKA'!D3</f>
        <v>91667900</v>
      </c>
      <c r="E9" s="137">
        <f>+'PLAN RASHODA I IZDATAKA'!E3</f>
        <v>4900830</v>
      </c>
      <c r="F9" s="137">
        <f>+'PLAN RASHODA I IZDATAKA'!F3</f>
        <v>3088000</v>
      </c>
      <c r="G9" s="137">
        <f>+'PLAN RASHODA I IZDATAKA'!G3</f>
        <v>0</v>
      </c>
      <c r="H9" s="137">
        <f>+'PLAN RASHODA I IZDATAKA'!H3</f>
        <v>1170000</v>
      </c>
      <c r="I9" s="137">
        <f>+'PLAN RASHODA I IZDATAKA'!I3</f>
        <v>0</v>
      </c>
      <c r="J9" s="137">
        <f>+'PLAN RASHODA I IZDATAKA'!J3</f>
        <v>3683111</v>
      </c>
      <c r="K9" s="137">
        <f>+'PLAN RASHODA I IZDATAKA'!K3</f>
        <v>0</v>
      </c>
      <c r="L9" s="137">
        <f>+'PLAN RASHODA I IZDATAKA'!L3</f>
        <v>0</v>
      </c>
      <c r="M9" s="137">
        <f>+'PLAN RASHODA I IZDATAKA'!M3</f>
        <v>27771387</v>
      </c>
      <c r="N9" s="137">
        <f>+'PLAN RASHODA I IZDATAKA'!N3</f>
        <v>0</v>
      </c>
      <c r="O9" s="137">
        <f>+'PLAN RASHODA I IZDATAKA'!O3</f>
        <v>0</v>
      </c>
      <c r="P9" s="137">
        <f>+'PLAN RASHODA I IZDATAKA'!Q3</f>
        <v>5000000</v>
      </c>
      <c r="Q9" s="137">
        <f>+'PLAN RASHODA I IZDATAKA'!Q3</f>
        <v>5000000</v>
      </c>
      <c r="R9" s="137">
        <f>+'PLAN RASHODA I IZDATAKA'!R3</f>
        <v>0</v>
      </c>
      <c r="S9" s="137">
        <f>+'PLAN RASHODA I IZDATAKA'!S3</f>
        <v>1000</v>
      </c>
      <c r="T9" s="137">
        <f>+'PLAN RASHODA I IZDATAKA'!T3</f>
        <v>0</v>
      </c>
      <c r="U9" s="137">
        <f>+'PLAN RASHODA I IZDATAKA'!U3</f>
        <v>0</v>
      </c>
      <c r="V9" s="95"/>
      <c r="W9" s="95"/>
      <c r="X9" s="95"/>
      <c r="Y9" s="95"/>
      <c r="Z9" s="95"/>
      <c r="AA9" s="95"/>
    </row>
    <row r="10" spans="1:27" s="91" customFormat="1" ht="13.5" thickBot="1">
      <c r="A10" s="117"/>
      <c r="B10" s="118" t="s">
        <v>373</v>
      </c>
      <c r="C10" s="71">
        <f t="shared" si="5"/>
        <v>-5000000</v>
      </c>
      <c r="D10" s="119">
        <f>+D8-D9</f>
        <v>0</v>
      </c>
      <c r="E10" s="119">
        <f t="shared" ref="E10:T10" si="11">+E8-E9</f>
        <v>0</v>
      </c>
      <c r="F10" s="119">
        <f t="shared" si="11"/>
        <v>0</v>
      </c>
      <c r="G10" s="119">
        <f t="shared" ref="G10" si="12">+G8-G9</f>
        <v>0</v>
      </c>
      <c r="H10" s="119">
        <f t="shared" si="11"/>
        <v>0</v>
      </c>
      <c r="I10" s="119">
        <f t="shared" si="11"/>
        <v>0</v>
      </c>
      <c r="J10" s="119">
        <f t="shared" si="11"/>
        <v>0</v>
      </c>
      <c r="K10" s="119">
        <f t="shared" ref="K10" si="13">+K8-K9</f>
        <v>0</v>
      </c>
      <c r="L10" s="119">
        <f t="shared" si="11"/>
        <v>0</v>
      </c>
      <c r="M10" s="119">
        <f t="shared" si="11"/>
        <v>0</v>
      </c>
      <c r="N10" s="119">
        <f t="shared" si="11"/>
        <v>0</v>
      </c>
      <c r="O10" s="119">
        <f t="shared" ref="O10:P10" si="14">+O8-O9</f>
        <v>0</v>
      </c>
      <c r="P10" s="119">
        <f t="shared" si="14"/>
        <v>-5000000</v>
      </c>
      <c r="Q10" s="119">
        <f t="shared" si="11"/>
        <v>0</v>
      </c>
      <c r="R10" s="119">
        <f t="shared" si="11"/>
        <v>0</v>
      </c>
      <c r="S10" s="119">
        <f t="shared" si="11"/>
        <v>0</v>
      </c>
      <c r="T10" s="119">
        <f t="shared" si="11"/>
        <v>0</v>
      </c>
      <c r="U10" s="119">
        <f t="shared" ref="U10" si="15">+U8-U9</f>
        <v>0</v>
      </c>
    </row>
    <row r="11" spans="1:27" s="91" customFormat="1">
      <c r="A11" s="98" t="s">
        <v>1672</v>
      </c>
      <c r="B11" s="111" t="s">
        <v>1673</v>
      </c>
      <c r="C11" s="71">
        <f>SUM(D11:U11)</f>
        <v>0</v>
      </c>
      <c r="D11" s="202">
        <f>SUMIFS('Plan prihoda za unos u SAP'!$G$3:$G$501,'Plan prihoda za unos u SAP'!$C$3:$C$501,"=11",'Plan prihoda za unos u SAP'!$K$3:$K$501,"=614")</f>
        <v>0</v>
      </c>
      <c r="E11" s="202">
        <f>SUMIFS('Plan prihoda za unos u SAP'!$G$3:$G$501,'Plan prihoda za unos u SAP'!$C$3:$C$501,"=12",'Plan prihoda za unos u SAP'!$K$3:$K$501,"=614")</f>
        <v>0</v>
      </c>
      <c r="F11" s="202">
        <f>SUMIFS('Plan prihoda za unos u SAP'!$G$3:$G$501,'Plan prihoda za unos u SAP'!$C$3:$C$501,"=31",'Plan prihoda za unos u SAP'!$K$3:$K$501,"=614")</f>
        <v>0</v>
      </c>
      <c r="G11" s="202">
        <f>SUMIFS('Plan prihoda za unos u SAP'!$G$3:$G$501,'Plan prihoda za unos u SAP'!$C$3:$C$501,"=41",'Plan prihoda za unos u SAP'!$K$3:$K$501,"=614")</f>
        <v>0</v>
      </c>
      <c r="H11" s="202">
        <f>SUMIFS('Plan prihoda za unos u SAP'!$G$3:$G$501,'Plan prihoda za unos u SAP'!$C$3:$C$501,"=43",'Plan prihoda za unos u SAP'!$K$3:$K$501,"=614")</f>
        <v>0</v>
      </c>
      <c r="I11" s="202">
        <f>SUMIFS('Plan prihoda za unos u SAP'!$G$3:$G$501,'Plan prihoda za unos u SAP'!$C$3:$C$501,"=51",'Plan prihoda za unos u SAP'!$K$3:$K$501,"=614")</f>
        <v>0</v>
      </c>
      <c r="J11" s="202">
        <f>SUMIFS('Plan prihoda za unos u SAP'!$G$3:$G$501,'Plan prihoda za unos u SAP'!$C$3:$C$501,"=52",'Plan prihoda za unos u SAP'!$K$3:$K$501,"=614")</f>
        <v>0</v>
      </c>
      <c r="K11" s="202">
        <f>SUMIFS('Plan prihoda za unos u SAP'!$G$3:$G$501,'Plan prihoda za unos u SAP'!$C$3:$C$501,"=552",'Plan prihoda za unos u SAP'!$K$3:$K$501,"=614")</f>
        <v>0</v>
      </c>
      <c r="L11" s="202">
        <f>SUMIFS('Plan prihoda za unos u SAP'!$G$3:$G$501,'Plan prihoda za unos u SAP'!$C$3:$C$501,"=559",'Plan prihoda za unos u SAP'!$K$3:$K$501,"=614")</f>
        <v>0</v>
      </c>
      <c r="M11" s="202">
        <f>SUMIFS('Plan prihoda za unos u SAP'!$G$3:$G$501,'Plan prihoda za unos u SAP'!$C$3:$C$501,"=561",'Plan prihoda za unos u SAP'!$K$3:$K$501,"=614")</f>
        <v>0</v>
      </c>
      <c r="N11" s="202">
        <f>SUMIFS('Plan prihoda za unos u SAP'!$G$3:$G$501,'Plan prihoda za unos u SAP'!$C$3:$C$501,"=563",'Plan prihoda za unos u SAP'!$K$3:$K$501,"=614")</f>
        <v>0</v>
      </c>
      <c r="O11" s="202">
        <f>SUMIFS('Plan prihoda za unos u SAP'!$G$3:$G$501,'Plan prihoda za unos u SAP'!$C$3:$C$501,"=573",'Plan prihoda za unos u SAP'!$K$3:$K$501,"=614")</f>
        <v>0</v>
      </c>
      <c r="P11" s="202">
        <f>SUMIFS('Plan prihoda za unos u SAP'!$G$3:$G$501,'Plan prihoda za unos u SAP'!$C$3:$C$501,"=575",'Plan prihoda za unos u SAP'!$K$3:$K$501,"=614")</f>
        <v>0</v>
      </c>
      <c r="Q11" s="202">
        <f>SUMIFS('Plan prihoda za unos u SAP'!$G$3:$G$501,'Plan prihoda za unos u SAP'!$C$3:$C$501,"=61",'Plan prihoda za unos u SAP'!$K$3:$K$501,"=614")</f>
        <v>0</v>
      </c>
      <c r="R11" s="202">
        <f>SUMIFS('Plan prihoda za unos u SAP'!$G$3:$G$501,'Plan prihoda za unos u SAP'!$C$3:$C$501,"=63",'Plan prihoda za unos u SAP'!$K$3:$K$501,"=614")</f>
        <v>0</v>
      </c>
      <c r="S11" s="202">
        <f>SUMIFS('Plan prihoda za unos u SAP'!$G$3:$G$501,'Plan prihoda za unos u SAP'!$C$3:$C$501,"=71",'Plan prihoda za unos u SAP'!$K$3:$K$501,"=614")</f>
        <v>0</v>
      </c>
      <c r="T11" s="202">
        <f>SUMIFS('Plan prihoda za unos u SAP'!$G$3:$G$501,'Plan prihoda za unos u SAP'!$C$3:$C$501,"=81",'Plan prihoda za unos u SAP'!$K$3:$K$501,"=614")</f>
        <v>0</v>
      </c>
      <c r="U11" s="202">
        <f>SUMIFS('Plan prihoda za unos u SAP'!$G$3:$G$501,'Plan prihoda za unos u SAP'!$C$3:$C$501,"=83",'Plan prihoda za unos u SAP'!$K$3:$K$501,"=614")</f>
        <v>0</v>
      </c>
    </row>
    <row r="12" spans="1:27" s="91" customFormat="1">
      <c r="A12" s="98" t="s">
        <v>303</v>
      </c>
      <c r="B12" s="111" t="s">
        <v>304</v>
      </c>
      <c r="C12" s="71">
        <f t="shared" si="5"/>
        <v>0</v>
      </c>
      <c r="D12" s="202">
        <f>SUMIFS('Plan prihoda za unos u SAP'!$G$3:$G$501,'Plan prihoda za unos u SAP'!$C$3:$C$501,"=11",'Plan prihoda za unos u SAP'!$K$3:$K$501,"=631")</f>
        <v>0</v>
      </c>
      <c r="E12" s="202">
        <f>SUMIFS('Plan prihoda za unos u SAP'!$G$3:$G$501,'Plan prihoda za unos u SAP'!$C$3:$C$501,"=12",'Plan prihoda za unos u SAP'!$K$3:$K$501,"=631")</f>
        <v>0</v>
      </c>
      <c r="F12" s="202">
        <f>SUMIFS('Plan prihoda za unos u SAP'!$G$3:$G$501,'Plan prihoda za unos u SAP'!$C$3:$C$501,"=31",'Plan prihoda za unos u SAP'!$K$3:$K$501,"=631")</f>
        <v>0</v>
      </c>
      <c r="G12" s="202">
        <f>SUMIFS('Plan prihoda za unos u SAP'!$G$3:$G$501,'Plan prihoda za unos u SAP'!$C$3:$C$501,"=41",'Plan prihoda za unos u SAP'!$K$3:$K$501,"=631")</f>
        <v>0</v>
      </c>
      <c r="H12" s="202">
        <f>SUMIFS('Plan prihoda za unos u SAP'!$G$3:$G$501,'Plan prihoda za unos u SAP'!$C$3:$C$501,"=43",'Plan prihoda za unos u SAP'!$K$3:$K$501,"=631")</f>
        <v>0</v>
      </c>
      <c r="I12" s="202">
        <f>SUMIFS('Plan prihoda za unos u SAP'!$G$3:$G$501,'Plan prihoda za unos u SAP'!$C$3:$C$501,"=51",'Plan prihoda za unos u SAP'!$K$3:$K$501,"=631")</f>
        <v>0</v>
      </c>
      <c r="J12" s="202">
        <f>SUMIFS('Plan prihoda za unos u SAP'!$G$3:$G$501,'Plan prihoda za unos u SAP'!$C$3:$C$501,"=52",'Plan prihoda za unos u SAP'!$K$3:$K$501,"=631")</f>
        <v>0</v>
      </c>
      <c r="K12" s="202">
        <f>SUMIFS('Plan prihoda za unos u SAP'!$G$3:$G$501,'Plan prihoda za unos u SAP'!$C$3:$C$501,"=552",'Plan prihoda za unos u SAP'!$K$3:$K$501,"=631")</f>
        <v>0</v>
      </c>
      <c r="L12" s="202">
        <f>SUMIFS('Plan prihoda za unos u SAP'!$G$3:$G$501,'Plan prihoda za unos u SAP'!$C$3:$C$501,"=559",'Plan prihoda za unos u SAP'!$K$3:$K$501,"=631")</f>
        <v>0</v>
      </c>
      <c r="M12" s="202">
        <f>SUMIFS('Plan prihoda za unos u SAP'!$G$3:$G$501,'Plan prihoda za unos u SAP'!$C$3:$C$501,"=561",'Plan prihoda za unos u SAP'!$K$3:$K$501,"=631")</f>
        <v>0</v>
      </c>
      <c r="N12" s="202">
        <f>SUMIFS('Plan prihoda za unos u SAP'!$G$3:$G$501,'Plan prihoda za unos u SAP'!$C$3:$C$501,"=563",'Plan prihoda za unos u SAP'!$K$3:$K$501,"=631")</f>
        <v>0</v>
      </c>
      <c r="O12" s="202">
        <f>SUMIFS('Plan prihoda za unos u SAP'!$G$3:$G$501,'Plan prihoda za unos u SAP'!$C$3:$C$501,"=573",'Plan prihoda za unos u SAP'!$K$3:$K$501,"=631")</f>
        <v>0</v>
      </c>
      <c r="P12" s="202">
        <f>SUMIFS('Plan prihoda za unos u SAP'!$G$3:$G$501,'Plan prihoda za unos u SAP'!$C$3:$C$501,"=575",'Plan prihoda za unos u SAP'!$K$3:$K$501,"=631")</f>
        <v>0</v>
      </c>
      <c r="Q12" s="202">
        <f>SUMIFS('Plan prihoda za unos u SAP'!$G$3:$G$501,'Plan prihoda za unos u SAP'!$C$3:$C$501,"=61",'Plan prihoda za unos u SAP'!$K$3:$K$501,"=631")</f>
        <v>0</v>
      </c>
      <c r="R12" s="202">
        <f>SUMIFS('Plan prihoda za unos u SAP'!$G$3:$G$501,'Plan prihoda za unos u SAP'!$C$3:$C$501,"=63",'Plan prihoda za unos u SAP'!$K$3:$K$501,"=631")</f>
        <v>0</v>
      </c>
      <c r="S12" s="202">
        <f>SUMIFS('Plan prihoda za unos u SAP'!$G$3:$G$501,'Plan prihoda za unos u SAP'!$C$3:$C$501,"=71",'Plan prihoda za unos u SAP'!$K$3:$K$501,"=631")</f>
        <v>0</v>
      </c>
      <c r="T12" s="202">
        <f>SUMIFS('Plan prihoda za unos u SAP'!$G$3:$G$501,'Plan prihoda za unos u SAP'!$C$3:$C$501,"=81",'Plan prihoda za unos u SAP'!$K$3:$K$501,"=631")</f>
        <v>0</v>
      </c>
      <c r="U12" s="202">
        <f>SUMIFS('Plan prihoda za unos u SAP'!$G$3:$G$501,'Plan prihoda za unos u SAP'!$C$3:$C$501,"=83",'Plan prihoda za unos u SAP'!$K$3:$K$501,"=631")</f>
        <v>0</v>
      </c>
    </row>
    <row r="13" spans="1:27" s="91" customFormat="1">
      <c r="A13" s="96" t="s">
        <v>305</v>
      </c>
      <c r="B13" s="97" t="s">
        <v>306</v>
      </c>
      <c r="C13" s="71">
        <f t="shared" si="5"/>
        <v>27771387</v>
      </c>
      <c r="D13" s="202">
        <f>SUMIFS('Plan prihoda za unos u SAP'!$G$3:$G$501,'Plan prihoda za unos u SAP'!$C$3:$C$501,"=11",'Plan prihoda za unos u SAP'!$K$3:$K$501,"=632")</f>
        <v>0</v>
      </c>
      <c r="E13" s="202">
        <f>SUMIFS('Plan prihoda za unos u SAP'!$G$3:$G$501,'Plan prihoda za unos u SAP'!$C$3:$C$501,"=12",'Plan prihoda za unos u SAP'!$K$3:$K$501,"=632")</f>
        <v>0</v>
      </c>
      <c r="F13" s="202">
        <f>SUMIFS('Plan prihoda za unos u SAP'!$G$3:$G$501,'Plan prihoda za unos u SAP'!$C$3:$C$501,"=31",'Plan prihoda za unos u SAP'!$K$3:$K$501,"=632")</f>
        <v>0</v>
      </c>
      <c r="G13" s="202">
        <f>SUMIFS('Plan prihoda za unos u SAP'!$G$3:$G$501,'Plan prihoda za unos u SAP'!$C$3:$C$501,"=41",'Plan prihoda za unos u SAP'!$K$3:$K$501,"=632")</f>
        <v>0</v>
      </c>
      <c r="H13" s="202">
        <f>SUMIFS('Plan prihoda za unos u SAP'!$G$3:$G$501,'Plan prihoda za unos u SAP'!$C$3:$C$501,"=43",'Plan prihoda za unos u SAP'!$K$3:$K$501,"=632")</f>
        <v>0</v>
      </c>
      <c r="I13" s="202">
        <f>SUMIFS('Plan prihoda za unos u SAP'!$G$3:$G$501,'Plan prihoda za unos u SAP'!$C$3:$C$501,"=51",'Plan prihoda za unos u SAP'!$K$3:$K$501,"=632")</f>
        <v>0</v>
      </c>
      <c r="J13" s="202">
        <f>SUMIFS('Plan prihoda za unos u SAP'!$G$3:$G$501,'Plan prihoda za unos u SAP'!$C$3:$C$501,"=52",'Plan prihoda za unos u SAP'!$K$3:$K$501,"=632")</f>
        <v>0</v>
      </c>
      <c r="K13" s="202">
        <f>SUMIFS('Plan prihoda za unos u SAP'!$G$3:$G$501,'Plan prihoda za unos u SAP'!$C$3:$C$501,"=552",'Plan prihoda za unos u SAP'!$K$3:$K$501,"=632")</f>
        <v>0</v>
      </c>
      <c r="L13" s="202">
        <f>SUMIFS('Plan prihoda za unos u SAP'!$G$3:$G$501,'Plan prihoda za unos u SAP'!$C$3:$C$501,"=559",'Plan prihoda za unos u SAP'!$K$3:$K$501,"=632")</f>
        <v>0</v>
      </c>
      <c r="M13" s="202">
        <f>SUMIFS('Plan prihoda za unos u SAP'!$G$3:$G$501,'Plan prihoda za unos u SAP'!$C$3:$C$501,"=561",'Plan prihoda za unos u SAP'!$K$3:$K$501,"=632")</f>
        <v>27771387</v>
      </c>
      <c r="N13" s="202">
        <f>SUMIFS('Plan prihoda za unos u SAP'!$G$3:$G$501,'Plan prihoda za unos u SAP'!$C$3:$C$501,"=563",'Plan prihoda za unos u SAP'!$K$3:$K$501,"=632")</f>
        <v>0</v>
      </c>
      <c r="O13" s="202">
        <f>SUMIFS('Plan prihoda za unos u SAP'!$G$3:$G$501,'Plan prihoda za unos u SAP'!$C$3:$C$501,"=573",'Plan prihoda za unos u SAP'!$K$3:$K$501,"=632")</f>
        <v>0</v>
      </c>
      <c r="P13" s="202">
        <f>SUMIFS('Plan prihoda za unos u SAP'!$G$3:$G$501,'Plan prihoda za unos u SAP'!$C$3:$C$501,"=575",'Plan prihoda za unos u SAP'!$K$3:$K$501,"=632")</f>
        <v>0</v>
      </c>
      <c r="Q13" s="202">
        <f>SUMIFS('Plan prihoda za unos u SAP'!$G$3:$G$501,'Plan prihoda za unos u SAP'!$C$3:$C$501,"=61",'Plan prihoda za unos u SAP'!$K$3:$K$501,"=632")</f>
        <v>0</v>
      </c>
      <c r="R13" s="202">
        <f>SUMIFS('Plan prihoda za unos u SAP'!$G$3:$G$501,'Plan prihoda za unos u SAP'!$C$3:$C$501,"=63",'Plan prihoda za unos u SAP'!$K$3:$K$501,"=632")</f>
        <v>0</v>
      </c>
      <c r="S13" s="202">
        <f>SUMIFS('Plan prihoda za unos u SAP'!$G$3:$G$501,'Plan prihoda za unos u SAP'!$C$3:$C$501,"=71",'Plan prihoda za unos u SAP'!$K$3:$K$501,"=632")</f>
        <v>0</v>
      </c>
      <c r="T13" s="202">
        <f>SUMIFS('Plan prihoda za unos u SAP'!$G$3:$G$501,'Plan prihoda za unos u SAP'!$C$3:$C$501,"=81",'Plan prihoda za unos u SAP'!$K$3:$K$501,"=632")</f>
        <v>0</v>
      </c>
      <c r="U13" s="202">
        <f>SUMIFS('Plan prihoda za unos u SAP'!$G$3:$G$501,'Plan prihoda za unos u SAP'!$C$3:$C$501,"=83",'Plan prihoda za unos u SAP'!$K$3:$K$501,"=632")</f>
        <v>0</v>
      </c>
    </row>
    <row r="14" spans="1:27" s="91" customFormat="1">
      <c r="A14" s="96" t="s">
        <v>307</v>
      </c>
      <c r="B14" s="97" t="s">
        <v>308</v>
      </c>
      <c r="C14" s="71">
        <f t="shared" si="5"/>
        <v>0</v>
      </c>
      <c r="D14" s="202">
        <f>SUMIFS('Plan prihoda za unos u SAP'!$G$3:$G$501,'Plan prihoda za unos u SAP'!$C$3:$C$501,"=11",'Plan prihoda za unos u SAP'!$K$3:$K$501,"=634")</f>
        <v>0</v>
      </c>
      <c r="E14" s="202">
        <f>SUMIFS('Plan prihoda za unos u SAP'!$G$3:$G$501,'Plan prihoda za unos u SAP'!$C$3:$C$501,"=12",'Plan prihoda za unos u SAP'!$K$3:$K$501,"=634")</f>
        <v>0</v>
      </c>
      <c r="F14" s="202">
        <f>SUMIFS('Plan prihoda za unos u SAP'!$G$3:$G$501,'Plan prihoda za unos u SAP'!$C$3:$C$501,"=31",'Plan prihoda za unos u SAP'!$K$3:$K$501,"=634")</f>
        <v>0</v>
      </c>
      <c r="G14" s="202">
        <f>SUMIFS('Plan prihoda za unos u SAP'!$G$3:$G$501,'Plan prihoda za unos u SAP'!$C$3:$C$501,"=41",'Plan prihoda za unos u SAP'!$K$3:$K$501,"=634")</f>
        <v>0</v>
      </c>
      <c r="H14" s="202">
        <f>SUMIFS('Plan prihoda za unos u SAP'!$G$3:$G$501,'Plan prihoda za unos u SAP'!$C$3:$C$501,"=43",'Plan prihoda za unos u SAP'!$K$3:$K$501,"=634")</f>
        <v>0</v>
      </c>
      <c r="I14" s="202">
        <f>SUMIFS('Plan prihoda za unos u SAP'!$G$3:$G$501,'Plan prihoda za unos u SAP'!$C$3:$C$501,"=51",'Plan prihoda za unos u SAP'!$K$3:$K$501,"=634")</f>
        <v>0</v>
      </c>
      <c r="J14" s="202">
        <f>SUMIFS('Plan prihoda za unos u SAP'!$G$3:$G$501,'Plan prihoda za unos u SAP'!$C$3:$C$501,"=52",'Plan prihoda za unos u SAP'!$K$3:$K$501,"=634")</f>
        <v>0</v>
      </c>
      <c r="K14" s="202">
        <f>SUMIFS('Plan prihoda za unos u SAP'!$G$3:$G$501,'Plan prihoda za unos u SAP'!$C$3:$C$501,"=552",'Plan prihoda za unos u SAP'!$K$3:$K$501,"=634")</f>
        <v>0</v>
      </c>
      <c r="L14" s="202">
        <f>SUMIFS('Plan prihoda za unos u SAP'!$G$3:$G$501,'Plan prihoda za unos u SAP'!$C$3:$C$501,"=559",'Plan prihoda za unos u SAP'!$K$3:$K$501,"=634")</f>
        <v>0</v>
      </c>
      <c r="M14" s="202">
        <f>SUMIFS('Plan prihoda za unos u SAP'!$G$3:$G$501,'Plan prihoda za unos u SAP'!$C$3:$C$501,"=561",'Plan prihoda za unos u SAP'!$K$3:$K$501,"=634")</f>
        <v>0</v>
      </c>
      <c r="N14" s="202">
        <f>SUMIFS('Plan prihoda za unos u SAP'!$G$3:$G$501,'Plan prihoda za unos u SAP'!$C$3:$C$501,"=563",'Plan prihoda za unos u SAP'!$K$3:$K$501,"=634")</f>
        <v>0</v>
      </c>
      <c r="O14" s="202">
        <f>SUMIFS('Plan prihoda za unos u SAP'!$G$3:$G$501,'Plan prihoda za unos u SAP'!$C$3:$C$501,"=573",'Plan prihoda za unos u SAP'!$K$3:$K$501,"=634")</f>
        <v>0</v>
      </c>
      <c r="P14" s="202">
        <f>SUMIFS('Plan prihoda za unos u SAP'!$G$3:$G$501,'Plan prihoda za unos u SAP'!$C$3:$C$501,"=575",'Plan prihoda za unos u SAP'!$K$3:$K$501,"=634")</f>
        <v>0</v>
      </c>
      <c r="Q14" s="202">
        <f>SUMIFS('Plan prihoda za unos u SAP'!$G$3:$G$501,'Plan prihoda za unos u SAP'!$C$3:$C$501,"=61",'Plan prihoda za unos u SAP'!$K$3:$K$501,"=634")</f>
        <v>0</v>
      </c>
      <c r="R14" s="202">
        <f>SUMIFS('Plan prihoda za unos u SAP'!$G$3:$G$501,'Plan prihoda za unos u SAP'!$C$3:$C$501,"=63",'Plan prihoda za unos u SAP'!$K$3:$K$501,"=634")</f>
        <v>0</v>
      </c>
      <c r="S14" s="202">
        <f>SUMIFS('Plan prihoda za unos u SAP'!$G$3:$G$501,'Plan prihoda za unos u SAP'!$C$3:$C$501,"=71",'Plan prihoda za unos u SAP'!$K$3:$K$501,"=634")</f>
        <v>0</v>
      </c>
      <c r="T14" s="202">
        <f>SUMIFS('Plan prihoda za unos u SAP'!$G$3:$G$501,'Plan prihoda za unos u SAP'!$C$3:$C$501,"=81",'Plan prihoda za unos u SAP'!$K$3:$K$501,"=634")</f>
        <v>0</v>
      </c>
      <c r="U14" s="202">
        <f>SUMIFS('Plan prihoda za unos u SAP'!$G$3:$G$501,'Plan prihoda za unos u SAP'!$C$3:$C$501,"=83",'Plan prihoda za unos u SAP'!$K$3:$K$501,"=634")</f>
        <v>0</v>
      </c>
    </row>
    <row r="15" spans="1:27" s="91" customFormat="1">
      <c r="A15" s="247" t="s">
        <v>815</v>
      </c>
      <c r="B15" s="97" t="s">
        <v>816</v>
      </c>
      <c r="C15" s="71">
        <f>SUM(D15:U15)</f>
        <v>0</v>
      </c>
      <c r="D15" s="202">
        <f>SUMIFS('Plan prihoda za unos u SAP'!$G$3:$G$501,'Plan prihoda za unos u SAP'!$C$3:$C$501,"=11",'Plan prihoda za unos u SAP'!$K$3:$K$501,"=636")</f>
        <v>0</v>
      </c>
      <c r="E15" s="202">
        <f>SUMIFS('Plan prihoda za unos u SAP'!$G$3:$G$501,'Plan prihoda za unos u SAP'!$C$3:$C$501,"=12",'Plan prihoda za unos u SAP'!$K$3:$K$501,"=636")</f>
        <v>0</v>
      </c>
      <c r="F15" s="202">
        <f>SUMIFS('Plan prihoda za unos u SAP'!$G$3:$G$501,'Plan prihoda za unos u SAP'!$C$3:$C$501,"=31",'Plan prihoda za unos u SAP'!$K$3:$K$501,"=636")</f>
        <v>0</v>
      </c>
      <c r="G15" s="202">
        <f>SUMIFS('Plan prihoda za unos u SAP'!$G$3:$G$501,'Plan prihoda za unos u SAP'!$C$3:$C$501,"=41",'Plan prihoda za unos u SAP'!$K$3:$K$501,"=636")</f>
        <v>0</v>
      </c>
      <c r="H15" s="202">
        <f>SUMIFS('Plan prihoda za unos u SAP'!$G$3:$G$501,'Plan prihoda za unos u SAP'!$C$3:$C$501,"=43",'Plan prihoda za unos u SAP'!$K$3:$K$501,"=636")</f>
        <v>0</v>
      </c>
      <c r="I15" s="202">
        <f>SUMIFS('Plan prihoda za unos u SAP'!$G$3:$G$501,'Plan prihoda za unos u SAP'!$C$3:$C$501,"=51",'Plan prihoda za unos u SAP'!$K$3:$K$501,"=636")</f>
        <v>0</v>
      </c>
      <c r="J15" s="202">
        <f>SUMIFS('Plan prihoda za unos u SAP'!$G$3:$G$501,'Plan prihoda za unos u SAP'!$C$3:$C$501,"=52",'Plan prihoda za unos u SAP'!$K$3:$K$501,"=636")</f>
        <v>0</v>
      </c>
      <c r="K15" s="202">
        <f>SUMIFS('Plan prihoda za unos u SAP'!$G$3:$G$501,'Plan prihoda za unos u SAP'!$C$3:$C$501,"=552",'Plan prihoda za unos u SAP'!$K$3:$K$501,"=636")</f>
        <v>0</v>
      </c>
      <c r="L15" s="202">
        <f>SUMIFS('Plan prihoda za unos u SAP'!$G$3:$G$501,'Plan prihoda za unos u SAP'!$C$3:$C$501,"=559",'Plan prihoda za unos u SAP'!$K$3:$K$501,"=636")</f>
        <v>0</v>
      </c>
      <c r="M15" s="202">
        <f>SUMIFS('Plan prihoda za unos u SAP'!$G$3:$G$501,'Plan prihoda za unos u SAP'!$C$3:$C$501,"=561",'Plan prihoda za unos u SAP'!$K$3:$K$501,"=636")</f>
        <v>0</v>
      </c>
      <c r="N15" s="202">
        <f>SUMIFS('Plan prihoda za unos u SAP'!$G$3:$G$501,'Plan prihoda za unos u SAP'!$C$3:$C$501,"=563",'Plan prihoda za unos u SAP'!$K$3:$K$501,"=636")</f>
        <v>0</v>
      </c>
      <c r="O15" s="202">
        <f>SUMIFS('Plan prihoda za unos u SAP'!$G$3:$G$501,'Plan prihoda za unos u SAP'!$C$3:$C$501,"=573",'Plan prihoda za unos u SAP'!$K$3:$K$501,"=636")</f>
        <v>0</v>
      </c>
      <c r="P15" s="202">
        <f>SUMIFS('Plan prihoda za unos u SAP'!$G$3:$G$501,'Plan prihoda za unos u SAP'!$C$3:$C$501,"=575",'Plan prihoda za unos u SAP'!$K$3:$K$501,"=636")</f>
        <v>0</v>
      </c>
      <c r="Q15" s="202">
        <f>SUMIFS('Plan prihoda za unos u SAP'!$G$3:$G$501,'Plan prihoda za unos u SAP'!$C$3:$C$501,"=61",'Plan prihoda za unos u SAP'!$K$3:$K$501,"=636")</f>
        <v>0</v>
      </c>
      <c r="R15" s="202">
        <f>SUMIFS('Plan prihoda za unos u SAP'!$G$3:$G$501,'Plan prihoda za unos u SAP'!$C$3:$C$501,"=63",'Plan prihoda za unos u SAP'!$K$3:$K$501,"=636")</f>
        <v>0</v>
      </c>
      <c r="S15" s="202">
        <f>SUMIFS('Plan prihoda za unos u SAP'!$G$3:$G$501,'Plan prihoda za unos u SAP'!$C$3:$C$501,"=71",'Plan prihoda za unos u SAP'!$K$3:$K$501,"=636")</f>
        <v>0</v>
      </c>
      <c r="T15" s="202">
        <f>SUMIFS('Plan prihoda za unos u SAP'!$G$3:$G$501,'Plan prihoda za unos u SAP'!$C$3:$C$501,"=81",'Plan prihoda za unos u SAP'!$K$3:$K$501,"=636")</f>
        <v>0</v>
      </c>
      <c r="U15" s="202">
        <f>SUMIFS('Plan prihoda za unos u SAP'!$G$3:$G$501,'Plan prihoda za unos u SAP'!$C$3:$C$501,"=83",'Plan prihoda za unos u SAP'!$K$3:$K$501,"=636")</f>
        <v>0</v>
      </c>
    </row>
    <row r="16" spans="1:27" s="91" customFormat="1">
      <c r="A16" s="96" t="s">
        <v>309</v>
      </c>
      <c r="B16" s="97" t="s">
        <v>310</v>
      </c>
      <c r="C16" s="71">
        <f t="shared" si="5"/>
        <v>0</v>
      </c>
      <c r="D16" s="202">
        <f>SUMIFS('Plan prihoda za unos u SAP'!$G$3:$G$501,'Plan prihoda za unos u SAP'!$C$3:$C$501,"=11",'Plan prihoda za unos u SAP'!$K$3:$K$501,"=638")</f>
        <v>0</v>
      </c>
      <c r="E16" s="202">
        <f>SUMIFS('Plan prihoda za unos u SAP'!$G$3:$G$501,'Plan prihoda za unos u SAP'!$C$3:$C$501,"=12",'Plan prihoda za unos u SAP'!$K$3:$K$501,"=638")</f>
        <v>0</v>
      </c>
      <c r="F16" s="202">
        <f>SUMIFS('Plan prihoda za unos u SAP'!$G$3:$G$501,'Plan prihoda za unos u SAP'!$C$3:$C$501,"=31",'Plan prihoda za unos u SAP'!$K$3:$K$501,"=638")</f>
        <v>0</v>
      </c>
      <c r="G16" s="202">
        <f>SUMIFS('Plan prihoda za unos u SAP'!$G$3:$G$501,'Plan prihoda za unos u SAP'!$C$3:$C$501,"=41",'Plan prihoda za unos u SAP'!$K$3:$K$501,"=638")</f>
        <v>0</v>
      </c>
      <c r="H16" s="202">
        <f>SUMIFS('Plan prihoda za unos u SAP'!$G$3:$G$501,'Plan prihoda za unos u SAP'!$C$3:$C$501,"=43",'Plan prihoda za unos u SAP'!$K$3:$K$501,"=638")</f>
        <v>0</v>
      </c>
      <c r="I16" s="202">
        <f>SUMIFS('Plan prihoda za unos u SAP'!$G$3:$G$501,'Plan prihoda za unos u SAP'!$C$3:$C$501,"=51",'Plan prihoda za unos u SAP'!$K$3:$K$501,"=638")</f>
        <v>0</v>
      </c>
      <c r="J16" s="202">
        <f>SUMIFS('Plan prihoda za unos u SAP'!$G$3:$G$501,'Plan prihoda za unos u SAP'!$C$3:$C$501,"=52",'Plan prihoda za unos u SAP'!$K$3:$K$501,"=638")</f>
        <v>0</v>
      </c>
      <c r="K16" s="202">
        <f>SUMIFS('Plan prihoda za unos u SAP'!$G$3:$G$501,'Plan prihoda za unos u SAP'!$C$3:$C$501,"=552",'Plan prihoda za unos u SAP'!$K$3:$K$501,"=638")</f>
        <v>0</v>
      </c>
      <c r="L16" s="202">
        <f>SUMIFS('Plan prihoda za unos u SAP'!$G$3:$G$501,'Plan prihoda za unos u SAP'!$C$3:$C$501,"=559",'Plan prihoda za unos u SAP'!$K$3:$K$501,"=638")</f>
        <v>0</v>
      </c>
      <c r="M16" s="202">
        <f>SUMIFS('Plan prihoda za unos u SAP'!$G$3:$G$501,'Plan prihoda za unos u SAP'!$C$3:$C$501,"=561",'Plan prihoda za unos u SAP'!$K$3:$K$501,"=638")</f>
        <v>0</v>
      </c>
      <c r="N16" s="202">
        <f>SUMIFS('Plan prihoda za unos u SAP'!$G$3:$G$501,'Plan prihoda za unos u SAP'!$C$3:$C$501,"=563",'Plan prihoda za unos u SAP'!$K$3:$K$501,"=638")</f>
        <v>0</v>
      </c>
      <c r="O16" s="202">
        <f>SUMIFS('Plan prihoda za unos u SAP'!$G$3:$G$501,'Plan prihoda za unos u SAP'!$C$3:$C$501,"=573",'Plan prihoda za unos u SAP'!$K$3:$K$501,"=638")</f>
        <v>0</v>
      </c>
      <c r="P16" s="202">
        <f>SUMIFS('Plan prihoda za unos u SAP'!$G$3:$G$501,'Plan prihoda za unos u SAP'!$C$3:$C$501,"=575",'Plan prihoda za unos u SAP'!$K$3:$K$501,"=638")</f>
        <v>0</v>
      </c>
      <c r="Q16" s="202">
        <f>SUMIFS('Plan prihoda za unos u SAP'!$G$3:$G$501,'Plan prihoda za unos u SAP'!$C$3:$C$501,"=61",'Plan prihoda za unos u SAP'!$K$3:$K$501,"=638")</f>
        <v>0</v>
      </c>
      <c r="R16" s="202">
        <f>SUMIFS('Plan prihoda za unos u SAP'!$G$3:$G$501,'Plan prihoda za unos u SAP'!$C$3:$C$501,"=63",'Plan prihoda za unos u SAP'!$K$3:$K$501,"=638")</f>
        <v>0</v>
      </c>
      <c r="S16" s="202">
        <f>SUMIFS('Plan prihoda za unos u SAP'!$G$3:$G$501,'Plan prihoda za unos u SAP'!$C$3:$C$501,"=71",'Plan prihoda za unos u SAP'!$K$3:$K$501,"=638")</f>
        <v>0</v>
      </c>
      <c r="T16" s="202">
        <f>SUMIFS('Plan prihoda za unos u SAP'!$G$3:$G$501,'Plan prihoda za unos u SAP'!$C$3:$C$501,"=81",'Plan prihoda za unos u SAP'!$K$3:$K$501,"=638")</f>
        <v>0</v>
      </c>
      <c r="U16" s="202">
        <f>SUMIFS('Plan prihoda za unos u SAP'!$G$3:$G$501,'Plan prihoda za unos u SAP'!$C$3:$C$501,"=83",'Plan prihoda za unos u SAP'!$K$3:$K$501,"=638")</f>
        <v>0</v>
      </c>
    </row>
    <row r="17" spans="1:21" s="91" customFormat="1">
      <c r="A17" s="96" t="s">
        <v>311</v>
      </c>
      <c r="B17" s="97" t="s">
        <v>53</v>
      </c>
      <c r="C17" s="71">
        <f t="shared" si="5"/>
        <v>3544361</v>
      </c>
      <c r="D17" s="202">
        <f>SUMIFS('Plan prihoda za unos u SAP'!$G$3:$G$501,'Plan prihoda za unos u SAP'!$C$3:$C$501,"=11",'Plan prihoda za unos u SAP'!$K$3:$K$501,"=639")</f>
        <v>0</v>
      </c>
      <c r="E17" s="202">
        <f>SUMIFS('Plan prihoda za unos u SAP'!$G$3:$G$501,'Plan prihoda za unos u SAP'!$C$3:$C$501,"=12",'Plan prihoda za unos u SAP'!$K$3:$K$501,"=639")</f>
        <v>0</v>
      </c>
      <c r="F17" s="202">
        <f>SUMIFS('Plan prihoda za unos u SAP'!$G$3:$G$501,'Plan prihoda za unos u SAP'!$C$3:$C$501,"=31",'Plan prihoda za unos u SAP'!$K$3:$K$501,"=639")</f>
        <v>0</v>
      </c>
      <c r="G17" s="202">
        <f>SUMIFS('Plan prihoda za unos u SAP'!$G$3:$G$501,'Plan prihoda za unos u SAP'!$C$3:$C$501,"=41",'Plan prihoda za unos u SAP'!$K$3:$K$501,"=639")</f>
        <v>0</v>
      </c>
      <c r="H17" s="202">
        <f>SUMIFS('Plan prihoda za unos u SAP'!$G$3:$G$501,'Plan prihoda za unos u SAP'!$C$3:$C$501,"=43",'Plan prihoda za unos u SAP'!$K$3:$K$501,"=639")</f>
        <v>0</v>
      </c>
      <c r="I17" s="202">
        <f>SUMIFS('Plan prihoda za unos u SAP'!$G$3:$G$501,'Plan prihoda za unos u SAP'!$C$3:$C$501,"=51",'Plan prihoda za unos u SAP'!$K$3:$K$501,"=639")</f>
        <v>0</v>
      </c>
      <c r="J17" s="202">
        <f>SUMIFS('Plan prihoda za unos u SAP'!$G$3:$G$501,'Plan prihoda za unos u SAP'!$C$3:$C$501,"=52",'Plan prihoda za unos u SAP'!$K$3:$K$501,"=639")</f>
        <v>3544361</v>
      </c>
      <c r="K17" s="202">
        <f>SUMIFS('Plan prihoda za unos u SAP'!$G$3:$G$501,'Plan prihoda za unos u SAP'!$C$3:$C$501,"=552",'Plan prihoda za unos u SAP'!$K$3:$K$501,"=639")</f>
        <v>0</v>
      </c>
      <c r="L17" s="202">
        <f>SUMIFS('Plan prihoda za unos u SAP'!$G$3:$G$501,'Plan prihoda za unos u SAP'!$C$3:$C$501,"=559",'Plan prihoda za unos u SAP'!$K$3:$K$501,"=639")</f>
        <v>0</v>
      </c>
      <c r="M17" s="202">
        <f>SUMIFS('Plan prihoda za unos u SAP'!$G$3:$G$501,'Plan prihoda za unos u SAP'!$C$3:$C$501,"=561",'Plan prihoda za unos u SAP'!$K$3:$K$501,"=639")</f>
        <v>0</v>
      </c>
      <c r="N17" s="202">
        <f>SUMIFS('Plan prihoda za unos u SAP'!$G$3:$G$501,'Plan prihoda za unos u SAP'!$C$3:$C$501,"=563",'Plan prihoda za unos u SAP'!$K$3:$K$501,"=639")</f>
        <v>0</v>
      </c>
      <c r="O17" s="202">
        <f>SUMIFS('Plan prihoda za unos u SAP'!$G$3:$G$501,'Plan prihoda za unos u SAP'!$C$3:$C$501,"=573",'Plan prihoda za unos u SAP'!$K$3:$K$501,"=639")</f>
        <v>0</v>
      </c>
      <c r="P17" s="202">
        <f>SUMIFS('Plan prihoda za unos u SAP'!$G$3:$G$501,'Plan prihoda za unos u SAP'!$C$3:$C$501,"=575",'Plan prihoda za unos u SAP'!$K$3:$K$501,"=639")</f>
        <v>0</v>
      </c>
      <c r="Q17" s="202">
        <f>SUMIFS('Plan prihoda za unos u SAP'!$G$3:$G$501,'Plan prihoda za unos u SAP'!$C$3:$C$501,"=61",'Plan prihoda za unos u SAP'!$K$3:$K$501,"=639")</f>
        <v>0</v>
      </c>
      <c r="R17" s="202">
        <f>SUMIFS('Plan prihoda za unos u SAP'!$G$3:$G$501,'Plan prihoda za unos u SAP'!$C$3:$C$501,"=63",'Plan prihoda za unos u SAP'!$K$3:$K$501,"=639")</f>
        <v>0</v>
      </c>
      <c r="S17" s="202">
        <f>SUMIFS('Plan prihoda za unos u SAP'!$G$3:$G$501,'Plan prihoda za unos u SAP'!$C$3:$C$501,"=71",'Plan prihoda za unos u SAP'!$K$3:$K$501,"=639")</f>
        <v>0</v>
      </c>
      <c r="T17" s="202">
        <f>SUMIFS('Plan prihoda za unos u SAP'!$G$3:$G$501,'Plan prihoda za unos u SAP'!$C$3:$C$501,"=81",'Plan prihoda za unos u SAP'!$K$3:$K$501,"=639")</f>
        <v>0</v>
      </c>
      <c r="U17" s="202">
        <f>SUMIFS('Plan prihoda za unos u SAP'!$G$3:$G$501,'Plan prihoda za unos u SAP'!$C$3:$C$501,"=83",'Plan prihoda za unos u SAP'!$K$3:$K$501,"=639")</f>
        <v>0</v>
      </c>
    </row>
    <row r="18" spans="1:21" s="91" customFormat="1">
      <c r="A18" s="96" t="s">
        <v>312</v>
      </c>
      <c r="B18" s="97" t="s">
        <v>313</v>
      </c>
      <c r="C18" s="71">
        <f t="shared" si="5"/>
        <v>0</v>
      </c>
      <c r="D18" s="202">
        <f>SUMIFS('Plan prihoda za unos u SAP'!$G$3:$G$501,'Plan prihoda za unos u SAP'!$C$3:$C$501,"=11",'Plan prihoda za unos u SAP'!$K$3:$K$501,"=641")</f>
        <v>0</v>
      </c>
      <c r="E18" s="202">
        <f>SUMIFS('Plan prihoda za unos u SAP'!$G$3:$G$501,'Plan prihoda za unos u SAP'!$C$3:$C$501,"=12",'Plan prihoda za unos u SAP'!$K$3:$K$501,"=641")</f>
        <v>0</v>
      </c>
      <c r="F18" s="202">
        <f>SUMIFS('Plan prihoda za unos u SAP'!$G$3:$G$501,'Plan prihoda za unos u SAP'!$C$3:$C$501,"=31",'Plan prihoda za unos u SAP'!$K$3:$K$501,"=641")</f>
        <v>0</v>
      </c>
      <c r="G18" s="202">
        <f>SUMIFS('Plan prihoda za unos u SAP'!$G$3:$G$501,'Plan prihoda za unos u SAP'!$C$3:$C$501,"=41",'Plan prihoda za unos u SAP'!$K$3:$K$501,"=641")</f>
        <v>0</v>
      </c>
      <c r="H18" s="202">
        <f>SUMIFS('Plan prihoda za unos u SAP'!$G$3:$G$501,'Plan prihoda za unos u SAP'!$C$3:$C$501,"=43",'Plan prihoda za unos u SAP'!$K$3:$K$501,"=641")</f>
        <v>0</v>
      </c>
      <c r="I18" s="202">
        <f>SUMIFS('Plan prihoda za unos u SAP'!$G$3:$G$501,'Plan prihoda za unos u SAP'!$C$3:$C$501,"=51",'Plan prihoda za unos u SAP'!$K$3:$K$501,"=641")</f>
        <v>0</v>
      </c>
      <c r="J18" s="202">
        <f>SUMIFS('Plan prihoda za unos u SAP'!$G$3:$G$501,'Plan prihoda za unos u SAP'!$C$3:$C$501,"=52",'Plan prihoda za unos u SAP'!$K$3:$K$501,"=641")</f>
        <v>0</v>
      </c>
      <c r="K18" s="202">
        <f>SUMIFS('Plan prihoda za unos u SAP'!$G$3:$G$501,'Plan prihoda za unos u SAP'!$C$3:$C$501,"=552",'Plan prihoda za unos u SAP'!$K$3:$K$501,"=641")</f>
        <v>0</v>
      </c>
      <c r="L18" s="202">
        <f>SUMIFS('Plan prihoda za unos u SAP'!$G$3:$G$501,'Plan prihoda za unos u SAP'!$C$3:$C$501,"=559",'Plan prihoda za unos u SAP'!$K$3:$K$501,"=641")</f>
        <v>0</v>
      </c>
      <c r="M18" s="202">
        <f>SUMIFS('Plan prihoda za unos u SAP'!$G$3:$G$501,'Plan prihoda za unos u SAP'!$C$3:$C$501,"=561",'Plan prihoda za unos u SAP'!$K$3:$K$501,"=641")</f>
        <v>0</v>
      </c>
      <c r="N18" s="202">
        <f>SUMIFS('Plan prihoda za unos u SAP'!$G$3:$G$501,'Plan prihoda za unos u SAP'!$C$3:$C$501,"=563",'Plan prihoda za unos u SAP'!$K$3:$K$501,"=641")</f>
        <v>0</v>
      </c>
      <c r="O18" s="202">
        <f>SUMIFS('Plan prihoda za unos u SAP'!$G$3:$G$501,'Plan prihoda za unos u SAP'!$C$3:$C$501,"=573",'Plan prihoda za unos u SAP'!$K$3:$K$501,"=641")</f>
        <v>0</v>
      </c>
      <c r="P18" s="202">
        <f>SUMIFS('Plan prihoda za unos u SAP'!$G$3:$G$501,'Plan prihoda za unos u SAP'!$C$3:$C$501,"=575",'Plan prihoda za unos u SAP'!$K$3:$K$501,"=641")</f>
        <v>0</v>
      </c>
      <c r="Q18" s="202">
        <f>SUMIFS('Plan prihoda za unos u SAP'!$G$3:$G$501,'Plan prihoda za unos u SAP'!$C$3:$C$501,"=61",'Plan prihoda za unos u SAP'!$K$3:$K$501,"=641")</f>
        <v>0</v>
      </c>
      <c r="R18" s="202">
        <f>SUMIFS('Plan prihoda za unos u SAP'!$G$3:$G$501,'Plan prihoda za unos u SAP'!$C$3:$C$501,"=63",'Plan prihoda za unos u SAP'!$K$3:$K$501,"=641")</f>
        <v>0</v>
      </c>
      <c r="S18" s="202">
        <f>SUMIFS('Plan prihoda za unos u SAP'!$G$3:$G$501,'Plan prihoda za unos u SAP'!$C$3:$C$501,"=71",'Plan prihoda za unos u SAP'!$K$3:$K$501,"=641")</f>
        <v>0</v>
      </c>
      <c r="T18" s="202">
        <f>SUMIFS('Plan prihoda za unos u SAP'!$G$3:$G$501,'Plan prihoda za unos u SAP'!$C$3:$C$501,"=81",'Plan prihoda za unos u SAP'!$K$3:$K$501,"=641")</f>
        <v>0</v>
      </c>
      <c r="U18" s="202">
        <f>SUMIFS('Plan prihoda za unos u SAP'!$G$3:$G$501,'Plan prihoda za unos u SAP'!$C$3:$C$501,"=83",'Plan prihoda za unos u SAP'!$K$3:$K$501,"=641")</f>
        <v>0</v>
      </c>
    </row>
    <row r="19" spans="1:21" s="91" customFormat="1">
      <c r="A19" s="96" t="s">
        <v>314</v>
      </c>
      <c r="B19" s="97" t="s">
        <v>315</v>
      </c>
      <c r="C19" s="71">
        <f t="shared" si="5"/>
        <v>0</v>
      </c>
      <c r="D19" s="202">
        <f>SUMIFS('Plan prihoda za unos u SAP'!$G$3:$G$501,'Plan prihoda za unos u SAP'!$C$3:$C$501,"=11",'Plan prihoda za unos u SAP'!$K$3:$K$501,"=642")</f>
        <v>0</v>
      </c>
      <c r="E19" s="202">
        <f>SUMIFS('Plan prihoda za unos u SAP'!$G$3:$G$501,'Plan prihoda za unos u SAP'!$C$3:$C$501,"=12",'Plan prihoda za unos u SAP'!$K$3:$K$501,"=642")</f>
        <v>0</v>
      </c>
      <c r="F19" s="202">
        <f>SUMIFS('Plan prihoda za unos u SAP'!$G$3:$G$501,'Plan prihoda za unos u SAP'!$C$3:$C$501,"=31",'Plan prihoda za unos u SAP'!$K$3:$K$501,"=642")</f>
        <v>0</v>
      </c>
      <c r="G19" s="202">
        <f>SUMIFS('Plan prihoda za unos u SAP'!$G$3:$G$501,'Plan prihoda za unos u SAP'!$C$3:$C$501,"=41",'Plan prihoda za unos u SAP'!$K$3:$K$501,"=642")</f>
        <v>0</v>
      </c>
      <c r="H19" s="202">
        <f>SUMIFS('Plan prihoda za unos u SAP'!$G$3:$G$501,'Plan prihoda za unos u SAP'!$C$3:$C$501,"=43",'Plan prihoda za unos u SAP'!$K$3:$K$501,"=642")</f>
        <v>0</v>
      </c>
      <c r="I19" s="202">
        <f>SUMIFS('Plan prihoda za unos u SAP'!$G$3:$G$501,'Plan prihoda za unos u SAP'!$C$3:$C$501,"=51",'Plan prihoda za unos u SAP'!$K$3:$K$501,"=642")</f>
        <v>0</v>
      </c>
      <c r="J19" s="202">
        <f>SUMIFS('Plan prihoda za unos u SAP'!$G$3:$G$501,'Plan prihoda za unos u SAP'!$C$3:$C$501,"=52",'Plan prihoda za unos u SAP'!$K$3:$K$501,"=642")</f>
        <v>0</v>
      </c>
      <c r="K19" s="202">
        <f>SUMIFS('Plan prihoda za unos u SAP'!$G$3:$G$501,'Plan prihoda za unos u SAP'!$C$3:$C$501,"=552",'Plan prihoda za unos u SAP'!$K$3:$K$501,"=642")</f>
        <v>0</v>
      </c>
      <c r="L19" s="202">
        <f>SUMIFS('Plan prihoda za unos u SAP'!$G$3:$G$501,'Plan prihoda za unos u SAP'!$C$3:$C$501,"=559",'Plan prihoda za unos u SAP'!$K$3:$K$501,"=642")</f>
        <v>0</v>
      </c>
      <c r="M19" s="202">
        <f>SUMIFS('Plan prihoda za unos u SAP'!$G$3:$G$501,'Plan prihoda za unos u SAP'!$C$3:$C$501,"=561",'Plan prihoda za unos u SAP'!$K$3:$K$501,"=642")</f>
        <v>0</v>
      </c>
      <c r="N19" s="202">
        <f>SUMIFS('Plan prihoda za unos u SAP'!$G$3:$G$501,'Plan prihoda za unos u SAP'!$C$3:$C$501,"=563",'Plan prihoda za unos u SAP'!$K$3:$K$501,"=642")</f>
        <v>0</v>
      </c>
      <c r="O19" s="202">
        <f>SUMIFS('Plan prihoda za unos u SAP'!$G$3:$G$501,'Plan prihoda za unos u SAP'!$C$3:$C$501,"=573",'Plan prihoda za unos u SAP'!$K$3:$K$501,"=642")</f>
        <v>0</v>
      </c>
      <c r="P19" s="202">
        <f>SUMIFS('Plan prihoda za unos u SAP'!$G$3:$G$501,'Plan prihoda za unos u SAP'!$C$3:$C$501,"=575",'Plan prihoda za unos u SAP'!$K$3:$K$501,"=642")</f>
        <v>0</v>
      </c>
      <c r="Q19" s="202">
        <f>SUMIFS('Plan prihoda za unos u SAP'!$G$3:$G$501,'Plan prihoda za unos u SAP'!$C$3:$C$501,"=61",'Plan prihoda za unos u SAP'!$K$3:$K$501,"=642")</f>
        <v>0</v>
      </c>
      <c r="R19" s="202">
        <f>SUMIFS('Plan prihoda za unos u SAP'!$G$3:$G$501,'Plan prihoda za unos u SAP'!$C$3:$C$501,"=63",'Plan prihoda za unos u SAP'!$K$3:$K$501,"=642")</f>
        <v>0</v>
      </c>
      <c r="S19" s="202">
        <f>SUMIFS('Plan prihoda za unos u SAP'!$G$3:$G$501,'Plan prihoda za unos u SAP'!$C$3:$C$501,"=71",'Plan prihoda za unos u SAP'!$K$3:$K$501,"=642")</f>
        <v>0</v>
      </c>
      <c r="T19" s="202">
        <f>SUMIFS('Plan prihoda za unos u SAP'!$G$3:$G$501,'Plan prihoda za unos u SAP'!$C$3:$C$501,"=81",'Plan prihoda za unos u SAP'!$K$3:$K$501,"=642")</f>
        <v>0</v>
      </c>
      <c r="U19" s="202">
        <f>SUMIFS('Plan prihoda za unos u SAP'!$G$3:$G$501,'Plan prihoda za unos u SAP'!$C$3:$C$501,"=83",'Plan prihoda za unos u SAP'!$K$3:$K$501,"=642")</f>
        <v>0</v>
      </c>
    </row>
    <row r="20" spans="1:21" s="91" customFormat="1">
      <c r="A20" s="247" t="s">
        <v>818</v>
      </c>
      <c r="B20" s="97" t="s">
        <v>817</v>
      </c>
      <c r="C20" s="71">
        <f t="shared" si="5"/>
        <v>0</v>
      </c>
      <c r="D20" s="202">
        <f>SUMIFS('Plan prihoda za unos u SAP'!$G$3:$G$501,'Plan prihoda za unos u SAP'!$C$3:$C$501,"=11",'Plan prihoda za unos u SAP'!$K$3:$K$501,"=651")</f>
        <v>0</v>
      </c>
      <c r="E20" s="202">
        <f>SUMIFS('Plan prihoda za unos u SAP'!$G$3:$G$501,'Plan prihoda za unos u SAP'!$C$3:$C$501,"=12",'Plan prihoda za unos u SAP'!$K$3:$K$501,"=651")</f>
        <v>0</v>
      </c>
      <c r="F20" s="202">
        <f>SUMIFS('Plan prihoda za unos u SAP'!$G$3:$G$501,'Plan prihoda za unos u SAP'!$C$3:$C$501,"=31",'Plan prihoda za unos u SAP'!$K$3:$K$501,"=651")</f>
        <v>0</v>
      </c>
      <c r="G20" s="202">
        <f>SUMIFS('Plan prihoda za unos u SAP'!$G$3:$G$501,'Plan prihoda za unos u SAP'!$C$3:$C$501,"=41",'Plan prihoda za unos u SAP'!$K$3:$K$501,"=651")</f>
        <v>0</v>
      </c>
      <c r="H20" s="202">
        <f>SUMIFS('Plan prihoda za unos u SAP'!$G$3:$G$501,'Plan prihoda za unos u SAP'!$C$3:$C$501,"=43",'Plan prihoda za unos u SAP'!$K$3:$K$501,"=651")</f>
        <v>0</v>
      </c>
      <c r="I20" s="202">
        <f>SUMIFS('Plan prihoda za unos u SAP'!$G$3:$G$501,'Plan prihoda za unos u SAP'!$C$3:$C$501,"=51",'Plan prihoda za unos u SAP'!$K$3:$K$501,"=651")</f>
        <v>0</v>
      </c>
      <c r="J20" s="202">
        <f>SUMIFS('Plan prihoda za unos u SAP'!$G$3:$G$501,'Plan prihoda za unos u SAP'!$C$3:$C$501,"=52",'Plan prihoda za unos u SAP'!$K$3:$K$501,"=651")</f>
        <v>0</v>
      </c>
      <c r="K20" s="202">
        <f>SUMIFS('Plan prihoda za unos u SAP'!$G$3:$G$501,'Plan prihoda za unos u SAP'!$C$3:$C$501,"=552",'Plan prihoda za unos u SAP'!$K$3:$K$501,"=651")</f>
        <v>0</v>
      </c>
      <c r="L20" s="202">
        <f>SUMIFS('Plan prihoda za unos u SAP'!$G$3:$G$501,'Plan prihoda za unos u SAP'!$C$3:$C$501,"=559",'Plan prihoda za unos u SAP'!$K$3:$K$501,"=651")</f>
        <v>0</v>
      </c>
      <c r="M20" s="202">
        <f>SUMIFS('Plan prihoda za unos u SAP'!$G$3:$G$501,'Plan prihoda za unos u SAP'!$C$3:$C$501,"=561",'Plan prihoda za unos u SAP'!$K$3:$K$501,"=651")</f>
        <v>0</v>
      </c>
      <c r="N20" s="202">
        <f>SUMIFS('Plan prihoda za unos u SAP'!$G$3:$G$501,'Plan prihoda za unos u SAP'!$C$3:$C$501,"=563",'Plan prihoda za unos u SAP'!$K$3:$K$501,"=651")</f>
        <v>0</v>
      </c>
      <c r="O20" s="202">
        <f>SUMIFS('Plan prihoda za unos u SAP'!$G$3:$G$501,'Plan prihoda za unos u SAP'!$C$3:$C$501,"=573",'Plan prihoda za unos u SAP'!$K$3:$K$501,"=651")</f>
        <v>0</v>
      </c>
      <c r="P20" s="202">
        <f>SUMIFS('Plan prihoda za unos u SAP'!$G$3:$G$501,'Plan prihoda za unos u SAP'!$C$3:$C$501,"=575",'Plan prihoda za unos u SAP'!$K$3:$K$501,"=651")</f>
        <v>0</v>
      </c>
      <c r="Q20" s="202">
        <f>SUMIFS('Plan prihoda za unos u SAP'!$G$3:$G$501,'Plan prihoda za unos u SAP'!$C$3:$C$501,"=61",'Plan prihoda za unos u SAP'!$K$3:$K$501,"=651")</f>
        <v>0</v>
      </c>
      <c r="R20" s="202">
        <f>SUMIFS('Plan prihoda za unos u SAP'!$G$3:$G$501,'Plan prihoda za unos u SAP'!$C$3:$C$501,"=63",'Plan prihoda za unos u SAP'!$K$3:$K$501,"=651")</f>
        <v>0</v>
      </c>
      <c r="S20" s="202">
        <f>SUMIFS('Plan prihoda za unos u SAP'!$G$3:$G$501,'Plan prihoda za unos u SAP'!$C$3:$C$501,"=71",'Plan prihoda za unos u SAP'!$K$3:$K$501,"=651")</f>
        <v>0</v>
      </c>
      <c r="T20" s="202">
        <f>SUMIFS('Plan prihoda za unos u SAP'!$G$3:$G$501,'Plan prihoda za unos u SAP'!$C$3:$C$501,"=81",'Plan prihoda za unos u SAP'!$K$3:$K$501,"=651")</f>
        <v>0</v>
      </c>
      <c r="U20" s="202">
        <f>SUMIFS('Plan prihoda za unos u SAP'!$G$3:$G$501,'Plan prihoda za unos u SAP'!$C$3:$C$501,"=83",'Plan prihoda za unos u SAP'!$K$3:$K$501,"=651")</f>
        <v>0</v>
      </c>
    </row>
    <row r="21" spans="1:21" s="91" customFormat="1">
      <c r="A21" s="96" t="s">
        <v>316</v>
      </c>
      <c r="B21" s="97" t="s">
        <v>317</v>
      </c>
      <c r="C21" s="71">
        <f t="shared" si="5"/>
        <v>1170000</v>
      </c>
      <c r="D21" s="202">
        <f>SUMIFS('Plan prihoda za unos u SAP'!$G$3:$G$501,'Plan prihoda za unos u SAP'!$C$3:$C$501,"=11",'Plan prihoda za unos u SAP'!$K$3:$K$501,"=652")</f>
        <v>0</v>
      </c>
      <c r="E21" s="202">
        <f>SUMIFS('Plan prihoda za unos u SAP'!$G$3:$G$501,'Plan prihoda za unos u SAP'!$C$3:$C$501,"=12",'Plan prihoda za unos u SAP'!$K$3:$K$501,"=652")</f>
        <v>0</v>
      </c>
      <c r="F21" s="202">
        <f>SUMIFS('Plan prihoda za unos u SAP'!$G$3:$G$501,'Plan prihoda za unos u SAP'!$C$3:$C$501,"=31",'Plan prihoda za unos u SAP'!$K$3:$K$501,"=652")</f>
        <v>0</v>
      </c>
      <c r="G21" s="202">
        <f>SUMIFS('Plan prihoda za unos u SAP'!$G$3:$G$501,'Plan prihoda za unos u SAP'!$C$3:$C$501,"=41",'Plan prihoda za unos u SAP'!$K$3:$K$501,"=652")</f>
        <v>0</v>
      </c>
      <c r="H21" s="202">
        <f>SUMIFS('Plan prihoda za unos u SAP'!$G$3:$G$501,'Plan prihoda za unos u SAP'!$C$3:$C$501,"=43",'Plan prihoda za unos u SAP'!$K$3:$K$501,"=652")</f>
        <v>1170000</v>
      </c>
      <c r="I21" s="202">
        <f>SUMIFS('Plan prihoda za unos u SAP'!$G$3:$G$501,'Plan prihoda za unos u SAP'!$C$3:$C$501,"=51",'Plan prihoda za unos u SAP'!$K$3:$K$501,"=652")</f>
        <v>0</v>
      </c>
      <c r="J21" s="202">
        <f>SUMIFS('Plan prihoda za unos u SAP'!$G$3:$G$501,'Plan prihoda za unos u SAP'!$C$3:$C$501,"=52",'Plan prihoda za unos u SAP'!$K$3:$K$501,"=652")</f>
        <v>0</v>
      </c>
      <c r="K21" s="202">
        <f>SUMIFS('Plan prihoda za unos u SAP'!$G$3:$G$501,'Plan prihoda za unos u SAP'!$C$3:$C$501,"=552",'Plan prihoda za unos u SAP'!$K$3:$K$501,"=652")</f>
        <v>0</v>
      </c>
      <c r="L21" s="202">
        <f>SUMIFS('Plan prihoda za unos u SAP'!$G$3:$G$501,'Plan prihoda za unos u SAP'!$C$3:$C$501,"=559",'Plan prihoda za unos u SAP'!$K$3:$K$501,"=652")</f>
        <v>0</v>
      </c>
      <c r="M21" s="202">
        <f>SUMIFS('Plan prihoda za unos u SAP'!$G$3:$G$501,'Plan prihoda za unos u SAP'!$C$3:$C$501,"=561",'Plan prihoda za unos u SAP'!$K$3:$K$501,"=652")</f>
        <v>0</v>
      </c>
      <c r="N21" s="202">
        <f>SUMIFS('Plan prihoda za unos u SAP'!$G$3:$G$501,'Plan prihoda za unos u SAP'!$C$3:$C$501,"=563",'Plan prihoda za unos u SAP'!$K$3:$K$501,"=652")</f>
        <v>0</v>
      </c>
      <c r="O21" s="202">
        <f>SUMIFS('Plan prihoda za unos u SAP'!$G$3:$G$501,'Plan prihoda za unos u SAP'!$C$3:$C$501,"=573",'Plan prihoda za unos u SAP'!$K$3:$K$501,"=652")</f>
        <v>0</v>
      </c>
      <c r="P21" s="202">
        <f>SUMIFS('Plan prihoda za unos u SAP'!$G$3:$G$501,'Plan prihoda za unos u SAP'!$C$3:$C$501,"=575",'Plan prihoda za unos u SAP'!$K$3:$K$501,"=652")</f>
        <v>0</v>
      </c>
      <c r="Q21" s="202">
        <f>SUMIFS('Plan prihoda za unos u SAP'!$G$3:$G$501,'Plan prihoda za unos u SAP'!$C$3:$C$501,"=61",'Plan prihoda za unos u SAP'!$K$3:$K$501,"=652")</f>
        <v>0</v>
      </c>
      <c r="R21" s="202">
        <f>SUMIFS('Plan prihoda za unos u SAP'!$G$3:$G$501,'Plan prihoda za unos u SAP'!$C$3:$C$501,"=63",'Plan prihoda za unos u SAP'!$K$3:$K$501,"=652")</f>
        <v>0</v>
      </c>
      <c r="S21" s="202">
        <f>SUMIFS('Plan prihoda za unos u SAP'!$G$3:$G$501,'Plan prihoda za unos u SAP'!$C$3:$C$501,"=71",'Plan prihoda za unos u SAP'!$K$3:$K$501,"=652")</f>
        <v>0</v>
      </c>
      <c r="T21" s="202">
        <f>SUMIFS('Plan prihoda za unos u SAP'!$G$3:$G$501,'Plan prihoda za unos u SAP'!$C$3:$C$501,"=81",'Plan prihoda za unos u SAP'!$K$3:$K$501,"=652")</f>
        <v>0</v>
      </c>
      <c r="U21" s="202">
        <f>SUMIFS('Plan prihoda za unos u SAP'!$G$3:$G$501,'Plan prihoda za unos u SAP'!$C$3:$C$501,"=83",'Plan prihoda za unos u SAP'!$K$3:$K$501,"=652")</f>
        <v>0</v>
      </c>
    </row>
    <row r="22" spans="1:21" s="91" customFormat="1">
      <c r="A22" s="96" t="s">
        <v>318</v>
      </c>
      <c r="B22" s="97" t="s">
        <v>319</v>
      </c>
      <c r="C22" s="71">
        <f t="shared" si="5"/>
        <v>3088000</v>
      </c>
      <c r="D22" s="202">
        <f>SUMIFS('Plan prihoda za unos u SAP'!$G$3:$G$501,'Plan prihoda za unos u SAP'!$C$3:$C$501,"=11",'Plan prihoda za unos u SAP'!$K$3:$K$501,"=661")</f>
        <v>0</v>
      </c>
      <c r="E22" s="202">
        <f>SUMIFS('Plan prihoda za unos u SAP'!$G$3:$G$501,'Plan prihoda za unos u SAP'!$C$3:$C$501,"=12",'Plan prihoda za unos u SAP'!$K$3:$K$501,"=661")</f>
        <v>0</v>
      </c>
      <c r="F22" s="202">
        <f>SUMIFS('Plan prihoda za unos u SAP'!$G$3:$G$501,'Plan prihoda za unos u SAP'!$C$3:$C$501,"=31",'Plan prihoda za unos u SAP'!$K$3:$K$501,"=661")</f>
        <v>3088000</v>
      </c>
      <c r="G22" s="202">
        <f>SUMIFS('Plan prihoda za unos u SAP'!$G$3:$G$501,'Plan prihoda za unos u SAP'!$C$3:$C$501,"=41",'Plan prihoda za unos u SAP'!$K$3:$K$501,"=661")</f>
        <v>0</v>
      </c>
      <c r="H22" s="202">
        <f>SUMIFS('Plan prihoda za unos u SAP'!$G$3:$G$501,'Plan prihoda za unos u SAP'!$C$3:$C$501,"=43",'Plan prihoda za unos u SAP'!$K$3:$K$501,"=661")</f>
        <v>0</v>
      </c>
      <c r="I22" s="202">
        <f>SUMIFS('Plan prihoda za unos u SAP'!$G$3:$G$501,'Plan prihoda za unos u SAP'!$C$3:$C$501,"=51",'Plan prihoda za unos u SAP'!$K$3:$K$501,"=661")</f>
        <v>0</v>
      </c>
      <c r="J22" s="202">
        <f>SUMIFS('Plan prihoda za unos u SAP'!$G$3:$G$501,'Plan prihoda za unos u SAP'!$C$3:$C$501,"=52",'Plan prihoda za unos u SAP'!$K$3:$K$501,"=661")</f>
        <v>0</v>
      </c>
      <c r="K22" s="202">
        <f>SUMIFS('Plan prihoda za unos u SAP'!$G$3:$G$501,'Plan prihoda za unos u SAP'!$C$3:$C$501,"=552",'Plan prihoda za unos u SAP'!$K$3:$K$501,"=661")</f>
        <v>0</v>
      </c>
      <c r="L22" s="202">
        <f>SUMIFS('Plan prihoda za unos u SAP'!$G$3:$G$501,'Plan prihoda za unos u SAP'!$C$3:$C$501,"=559",'Plan prihoda za unos u SAP'!$K$3:$K$501,"=661")</f>
        <v>0</v>
      </c>
      <c r="M22" s="202">
        <f>SUMIFS('Plan prihoda za unos u SAP'!$G$3:$G$501,'Plan prihoda za unos u SAP'!$C$3:$C$501,"=561",'Plan prihoda za unos u SAP'!$K$3:$K$501,"=661")</f>
        <v>0</v>
      </c>
      <c r="N22" s="202">
        <f>SUMIFS('Plan prihoda za unos u SAP'!$G$3:$G$501,'Plan prihoda za unos u SAP'!$C$3:$C$501,"=563",'Plan prihoda za unos u SAP'!$K$3:$K$501,"=661")</f>
        <v>0</v>
      </c>
      <c r="O22" s="202">
        <f>SUMIFS('Plan prihoda za unos u SAP'!$G$3:$G$501,'Plan prihoda za unos u SAP'!$C$3:$C$501,"=573",'Plan prihoda za unos u SAP'!$K$3:$K$501,"=661")</f>
        <v>0</v>
      </c>
      <c r="P22" s="202">
        <f>SUMIFS('Plan prihoda za unos u SAP'!$G$3:$G$501,'Plan prihoda za unos u SAP'!$C$3:$C$501,"=575",'Plan prihoda za unos u SAP'!$K$3:$K$501,"=661")</f>
        <v>0</v>
      </c>
      <c r="Q22" s="202">
        <f>SUMIFS('Plan prihoda za unos u SAP'!$G$3:$G$501,'Plan prihoda za unos u SAP'!$C$3:$C$501,"=61",'Plan prihoda za unos u SAP'!$K$3:$K$501,"=661")</f>
        <v>0</v>
      </c>
      <c r="R22" s="202">
        <f>SUMIFS('Plan prihoda za unos u SAP'!$G$3:$G$501,'Plan prihoda za unos u SAP'!$C$3:$C$501,"=63",'Plan prihoda za unos u SAP'!$K$3:$K$501,"=661")</f>
        <v>0</v>
      </c>
      <c r="S22" s="202">
        <f>SUMIFS('Plan prihoda za unos u SAP'!$G$3:$G$501,'Plan prihoda za unos u SAP'!$C$3:$C$501,"=71",'Plan prihoda za unos u SAP'!$K$3:$K$501,"=661")</f>
        <v>0</v>
      </c>
      <c r="T22" s="202">
        <f>SUMIFS('Plan prihoda za unos u SAP'!$G$3:$G$501,'Plan prihoda za unos u SAP'!$C$3:$C$501,"=81",'Plan prihoda za unos u SAP'!$K$3:$K$501,"=661")</f>
        <v>0</v>
      </c>
      <c r="U22" s="202">
        <f>SUMIFS('Plan prihoda za unos u SAP'!$G$3:$G$501,'Plan prihoda za unos u SAP'!$C$3:$C$501,"=83",'Plan prihoda za unos u SAP'!$K$3:$K$501,"=661")</f>
        <v>0</v>
      </c>
    </row>
    <row r="23" spans="1:21" s="91" customFormat="1">
      <c r="A23" s="96" t="s">
        <v>320</v>
      </c>
      <c r="B23" s="97" t="s">
        <v>321</v>
      </c>
      <c r="C23" s="71">
        <f t="shared" si="5"/>
        <v>5000000</v>
      </c>
      <c r="D23" s="202">
        <f>SUMIFS('Plan prihoda za unos u SAP'!$G$3:$G$501,'Plan prihoda za unos u SAP'!$C$3:$C$501,"=11",'Plan prihoda za unos u SAP'!$K$3:$K$501,"=663")</f>
        <v>0</v>
      </c>
      <c r="E23" s="202">
        <f>SUMIFS('Plan prihoda za unos u SAP'!$G$3:$G$501,'Plan prihoda za unos u SAP'!$C$3:$C$501,"=12",'Plan prihoda za unos u SAP'!$K$3:$K$501,"=663")</f>
        <v>0</v>
      </c>
      <c r="F23" s="202">
        <f>SUMIFS('Plan prihoda za unos u SAP'!$G$3:$G$501,'Plan prihoda za unos u SAP'!$C$3:$C$501,"=31",'Plan prihoda za unos u SAP'!$K$3:$K$501,"=663")</f>
        <v>0</v>
      </c>
      <c r="G23" s="202">
        <f>SUMIFS('Plan prihoda za unos u SAP'!$G$3:$G$501,'Plan prihoda za unos u SAP'!$C$3:$C$501,"=41",'Plan prihoda za unos u SAP'!$K$3:$K$501,"=663")</f>
        <v>0</v>
      </c>
      <c r="H23" s="202">
        <f>SUMIFS('Plan prihoda za unos u SAP'!$G$3:$G$501,'Plan prihoda za unos u SAP'!$C$3:$C$501,"=43",'Plan prihoda za unos u SAP'!$K$3:$K$501,"=663")</f>
        <v>0</v>
      </c>
      <c r="I23" s="202">
        <f>SUMIFS('Plan prihoda za unos u SAP'!$G$3:$G$501,'Plan prihoda za unos u SAP'!$C$3:$C$501,"=51",'Plan prihoda za unos u SAP'!$K$3:$K$501,"=663")</f>
        <v>0</v>
      </c>
      <c r="J23" s="202">
        <f>SUMIFS('Plan prihoda za unos u SAP'!$G$3:$G$501,'Plan prihoda za unos u SAP'!$C$3:$C$501,"=52",'Plan prihoda za unos u SAP'!$K$3:$K$501,"=663")</f>
        <v>0</v>
      </c>
      <c r="K23" s="202">
        <f>SUMIFS('Plan prihoda za unos u SAP'!$G$3:$G$501,'Plan prihoda za unos u SAP'!$C$3:$C$501,"=552",'Plan prihoda za unos u SAP'!$K$3:$K$501,"=663")</f>
        <v>0</v>
      </c>
      <c r="L23" s="202">
        <f>SUMIFS('Plan prihoda za unos u SAP'!$G$3:$G$501,'Plan prihoda za unos u SAP'!$C$3:$C$501,"=559",'Plan prihoda za unos u SAP'!$K$3:$K$501,"=663")</f>
        <v>0</v>
      </c>
      <c r="M23" s="202">
        <f>SUMIFS('Plan prihoda za unos u SAP'!$G$3:$G$501,'Plan prihoda za unos u SAP'!$C$3:$C$501,"=561",'Plan prihoda za unos u SAP'!$K$3:$K$501,"=663")</f>
        <v>0</v>
      </c>
      <c r="N23" s="202">
        <f>SUMIFS('Plan prihoda za unos u SAP'!$G$3:$G$501,'Plan prihoda za unos u SAP'!$C$3:$C$501,"=563",'Plan prihoda za unos u SAP'!$K$3:$K$501,"=663")</f>
        <v>0</v>
      </c>
      <c r="O23" s="202">
        <f>SUMIFS('Plan prihoda za unos u SAP'!$G$3:$G$501,'Plan prihoda za unos u SAP'!$C$3:$C$501,"=573",'Plan prihoda za unos u SAP'!$K$3:$K$501,"=663")</f>
        <v>0</v>
      </c>
      <c r="P23" s="202">
        <f>SUMIFS('Plan prihoda za unos u SAP'!$G$3:$G$501,'Plan prihoda za unos u SAP'!$C$3:$C$501,"=575",'Plan prihoda za unos u SAP'!$K$3:$K$501,"=663")</f>
        <v>0</v>
      </c>
      <c r="Q23" s="202">
        <f>SUMIFS('Plan prihoda za unos u SAP'!$G$3:$G$501,'Plan prihoda za unos u SAP'!$C$3:$C$501,"=61",'Plan prihoda za unos u SAP'!$K$3:$K$501,"=663")</f>
        <v>5000000</v>
      </c>
      <c r="R23" s="202">
        <f>SUMIFS('Plan prihoda za unos u SAP'!$G$3:$G$501,'Plan prihoda za unos u SAP'!$C$3:$C$501,"=63",'Plan prihoda za unos u SAP'!$K$3:$K$501,"=663")</f>
        <v>0</v>
      </c>
      <c r="S23" s="202">
        <f>SUMIFS('Plan prihoda za unos u SAP'!$G$3:$G$501,'Plan prihoda za unos u SAP'!$C$3:$C$501,"=71",'Plan prihoda za unos u SAP'!$K$3:$K$501,"=663")</f>
        <v>0</v>
      </c>
      <c r="T23" s="202">
        <f>SUMIFS('Plan prihoda za unos u SAP'!$G$3:$G$501,'Plan prihoda za unos u SAP'!$C$3:$C$501,"=81",'Plan prihoda za unos u SAP'!$K$3:$K$501,"=663")</f>
        <v>0</v>
      </c>
      <c r="U23" s="202">
        <f>SUMIFS('Plan prihoda za unos u SAP'!$G$3:$G$501,'Plan prihoda za unos u SAP'!$C$3:$C$501,"=83",'Plan prihoda za unos u SAP'!$K$3:$K$501,"=663")</f>
        <v>0</v>
      </c>
    </row>
    <row r="24" spans="1:21" s="91" customFormat="1" ht="25.5">
      <c r="A24" s="96" t="s">
        <v>322</v>
      </c>
      <c r="B24" s="97" t="s">
        <v>282</v>
      </c>
      <c r="C24" s="71">
        <f t="shared" si="5"/>
        <v>96568730</v>
      </c>
      <c r="D24" s="202">
        <f>SUMIFS('Plan prihoda za unos u SAP'!$G$3:$G$501,'Plan prihoda za unos u SAP'!$C$3:$C$501,"=11",'Plan prihoda za unos u SAP'!$K$3:$K$501,"=671")</f>
        <v>91667900</v>
      </c>
      <c r="E24" s="202">
        <f>SUMIFS('Plan prihoda za unos u SAP'!$G$3:$G$501,'Plan prihoda za unos u SAP'!$C$3:$C$501,"=12",'Plan prihoda za unos u SAP'!$K$3:$K$501,"=671")</f>
        <v>4900830</v>
      </c>
      <c r="F24" s="202">
        <f>SUMIFS('Plan prihoda za unos u SAP'!$G$3:$G$501,'Plan prihoda za unos u SAP'!$C$3:$C$501,"=31",'Plan prihoda za unos u SAP'!$K$3:$K$501,"=671")</f>
        <v>0</v>
      </c>
      <c r="G24" s="202">
        <f>SUMIFS('Plan prihoda za unos u SAP'!$G$3:$G$501,'Plan prihoda za unos u SAP'!$C$3:$C$501,"=41",'Plan prihoda za unos u SAP'!$K$3:$K$501,"=671")</f>
        <v>0</v>
      </c>
      <c r="H24" s="202">
        <f>SUMIFS('Plan prihoda za unos u SAP'!$G$3:$G$501,'Plan prihoda za unos u SAP'!$C$3:$C$501,"=43",'Plan prihoda za unos u SAP'!$K$3:$K$501,"=671")</f>
        <v>0</v>
      </c>
      <c r="I24" s="202">
        <f>SUMIFS('Plan prihoda za unos u SAP'!$G$3:$G$501,'Plan prihoda za unos u SAP'!$C$3:$C$501,"=51",'Plan prihoda za unos u SAP'!$K$3:$K$501,"=671")</f>
        <v>0</v>
      </c>
      <c r="J24" s="202">
        <f>SUMIFS('Plan prihoda za unos u SAP'!$G$3:$G$501,'Plan prihoda za unos u SAP'!$C$3:$C$501,"=52",'Plan prihoda za unos u SAP'!$K$3:$K$501,"=671")</f>
        <v>0</v>
      </c>
      <c r="K24" s="202">
        <f>SUMIFS('Plan prihoda za unos u SAP'!$G$3:$G$501,'Plan prihoda za unos u SAP'!$C$3:$C$501,"=552",'Plan prihoda za unos u SAP'!$K$3:$K$501,"=671")</f>
        <v>0</v>
      </c>
      <c r="L24" s="202">
        <f>SUMIFS('Plan prihoda za unos u SAP'!$G$3:$G$501,'Plan prihoda za unos u SAP'!$C$3:$C$501,"=559",'Plan prihoda za unos u SAP'!$K$3:$K$501,"=671")</f>
        <v>0</v>
      </c>
      <c r="M24" s="202">
        <f>SUMIFS('Plan prihoda za unos u SAP'!$G$3:$G$501,'Plan prihoda za unos u SAP'!$C$3:$C$501,"=561",'Plan prihoda za unos u SAP'!$K$3:$K$501,"=671")</f>
        <v>0</v>
      </c>
      <c r="N24" s="202">
        <f>SUMIFS('Plan prihoda za unos u SAP'!$G$3:$G$501,'Plan prihoda za unos u SAP'!$C$3:$C$501,"=563",'Plan prihoda za unos u SAP'!$K$3:$K$501,"=671")</f>
        <v>0</v>
      </c>
      <c r="O24" s="202">
        <f>SUMIFS('Plan prihoda za unos u SAP'!$G$3:$G$501,'Plan prihoda za unos u SAP'!$C$3:$C$501,"=573",'Plan prihoda za unos u SAP'!$K$3:$K$501,"=671")</f>
        <v>0</v>
      </c>
      <c r="P24" s="202">
        <f>SUMIFS('Plan prihoda za unos u SAP'!$G$3:$G$501,'Plan prihoda za unos u SAP'!$C$3:$C$501,"=575",'Plan prihoda za unos u SAP'!$K$3:$K$501,"=671")</f>
        <v>0</v>
      </c>
      <c r="Q24" s="202">
        <f>SUMIFS('Plan prihoda za unos u SAP'!$G$3:$G$501,'Plan prihoda za unos u SAP'!$C$3:$C$501,"=61",'Plan prihoda za unos u SAP'!$K$3:$K$501,"=671")</f>
        <v>0</v>
      </c>
      <c r="R24" s="202">
        <f>SUMIFS('Plan prihoda za unos u SAP'!$G$3:$G$501,'Plan prihoda za unos u SAP'!$C$3:$C$501,"=63",'Plan prihoda za unos u SAP'!$K$3:$K$501,"=671")</f>
        <v>0</v>
      </c>
      <c r="S24" s="202">
        <f>SUMIFS('Plan prihoda za unos u SAP'!$G$3:$G$501,'Plan prihoda za unos u SAP'!$C$3:$C$501,"=71",'Plan prihoda za unos u SAP'!$K$3:$K$501,"=671")</f>
        <v>0</v>
      </c>
      <c r="T24" s="202">
        <f>SUMIFS('Plan prihoda za unos u SAP'!$G$3:$G$501,'Plan prihoda za unos u SAP'!$C$3:$C$501,"=81",'Plan prihoda za unos u SAP'!$K$3:$K$501,"=671")</f>
        <v>0</v>
      </c>
      <c r="U24" s="202">
        <f>SUMIFS('Plan prihoda za unos u SAP'!$G$3:$G$501,'Plan prihoda za unos u SAP'!$C$3:$C$501,"=83",'Plan prihoda za unos u SAP'!$K$3:$K$501,"=671")</f>
        <v>0</v>
      </c>
    </row>
    <row r="25" spans="1:21" s="91" customFormat="1">
      <c r="A25" s="96" t="s">
        <v>323</v>
      </c>
      <c r="B25" s="97" t="s">
        <v>324</v>
      </c>
      <c r="C25" s="71">
        <f t="shared" si="5"/>
        <v>0</v>
      </c>
      <c r="D25" s="202">
        <f>SUMIFS('Plan prihoda za unos u SAP'!$G$3:$G$501,'Plan prihoda za unos u SAP'!$C$3:$C$501,"=11",'Plan prihoda za unos u SAP'!$K$3:$K$501,"=681")</f>
        <v>0</v>
      </c>
      <c r="E25" s="202">
        <f>SUMIFS('Plan prihoda za unos u SAP'!$G$3:$G$501,'Plan prihoda za unos u SAP'!$C$3:$C$501,"=12",'Plan prihoda za unos u SAP'!$K$3:$K$501,"=681")</f>
        <v>0</v>
      </c>
      <c r="F25" s="202">
        <f>SUMIFS('Plan prihoda za unos u SAP'!$G$3:$G$501,'Plan prihoda za unos u SAP'!$C$3:$C$501,"=31",'Plan prihoda za unos u SAP'!$K$3:$K$501,"=681")</f>
        <v>0</v>
      </c>
      <c r="G25" s="202">
        <f>SUMIFS('Plan prihoda za unos u SAP'!$G$3:$G$501,'Plan prihoda za unos u SAP'!$C$3:$C$501,"=41",'Plan prihoda za unos u SAP'!$K$3:$K$501,"=681")</f>
        <v>0</v>
      </c>
      <c r="H25" s="202">
        <f>SUMIFS('Plan prihoda za unos u SAP'!$G$3:$G$501,'Plan prihoda za unos u SAP'!$C$3:$C$501,"=43",'Plan prihoda za unos u SAP'!$K$3:$K$501,"=681")</f>
        <v>0</v>
      </c>
      <c r="I25" s="202">
        <f>SUMIFS('Plan prihoda za unos u SAP'!$G$3:$G$501,'Plan prihoda za unos u SAP'!$C$3:$C$501,"=51",'Plan prihoda za unos u SAP'!$K$3:$K$501,"=681")</f>
        <v>0</v>
      </c>
      <c r="J25" s="202">
        <f>SUMIFS('Plan prihoda za unos u SAP'!$G$3:$G$501,'Plan prihoda za unos u SAP'!$C$3:$C$501,"=52",'Plan prihoda za unos u SAP'!$K$3:$K$501,"=681")</f>
        <v>0</v>
      </c>
      <c r="K25" s="202">
        <f>SUMIFS('Plan prihoda za unos u SAP'!$G$3:$G$501,'Plan prihoda za unos u SAP'!$C$3:$C$501,"=552",'Plan prihoda za unos u SAP'!$K$3:$K$501,"=681")</f>
        <v>0</v>
      </c>
      <c r="L25" s="202">
        <f>SUMIFS('Plan prihoda za unos u SAP'!$G$3:$G$501,'Plan prihoda za unos u SAP'!$C$3:$C$501,"=559",'Plan prihoda za unos u SAP'!$K$3:$K$501,"=681")</f>
        <v>0</v>
      </c>
      <c r="M25" s="202">
        <f>SUMIFS('Plan prihoda za unos u SAP'!$G$3:$G$501,'Plan prihoda za unos u SAP'!$C$3:$C$501,"=561",'Plan prihoda za unos u SAP'!$K$3:$K$501,"=681")</f>
        <v>0</v>
      </c>
      <c r="N25" s="202">
        <f>SUMIFS('Plan prihoda za unos u SAP'!$G$3:$G$501,'Plan prihoda za unos u SAP'!$C$3:$C$501,"=563",'Plan prihoda za unos u SAP'!$K$3:$K$501,"=681")</f>
        <v>0</v>
      </c>
      <c r="O25" s="202">
        <f>SUMIFS('Plan prihoda za unos u SAP'!$G$3:$G$501,'Plan prihoda za unos u SAP'!$C$3:$C$501,"=573",'Plan prihoda za unos u SAP'!$K$3:$K$501,"=681")</f>
        <v>0</v>
      </c>
      <c r="P25" s="202">
        <f>SUMIFS('Plan prihoda za unos u SAP'!$G$3:$G$501,'Plan prihoda za unos u SAP'!$C$3:$C$501,"=575",'Plan prihoda za unos u SAP'!$K$3:$K$501,"=681")</f>
        <v>0</v>
      </c>
      <c r="Q25" s="202">
        <f>SUMIFS('Plan prihoda za unos u SAP'!$G$3:$G$501,'Plan prihoda za unos u SAP'!$C$3:$C$501,"=61",'Plan prihoda za unos u SAP'!$K$3:$K$501,"=681")</f>
        <v>0</v>
      </c>
      <c r="R25" s="202">
        <f>SUMIFS('Plan prihoda za unos u SAP'!$G$3:$G$501,'Plan prihoda za unos u SAP'!$C$3:$C$501,"=63",'Plan prihoda za unos u SAP'!$K$3:$K$501,"=681")</f>
        <v>0</v>
      </c>
      <c r="S25" s="202">
        <f>SUMIFS('Plan prihoda za unos u SAP'!$G$3:$G$501,'Plan prihoda za unos u SAP'!$C$3:$C$501,"=71",'Plan prihoda za unos u SAP'!$K$3:$K$501,"=681")</f>
        <v>0</v>
      </c>
      <c r="T25" s="202">
        <f>SUMIFS('Plan prihoda za unos u SAP'!$G$3:$G$501,'Plan prihoda za unos u SAP'!$C$3:$C$501,"=81",'Plan prihoda za unos u SAP'!$K$3:$K$501,"=681")</f>
        <v>0</v>
      </c>
      <c r="U25" s="202">
        <f>SUMIFS('Plan prihoda za unos u SAP'!$G$3:$G$501,'Plan prihoda za unos u SAP'!$C$3:$C$501,"=83",'Plan prihoda za unos u SAP'!$K$3:$K$501,"=681")</f>
        <v>0</v>
      </c>
    </row>
    <row r="26" spans="1:21" s="91" customFormat="1">
      <c r="A26" s="96" t="s">
        <v>325</v>
      </c>
      <c r="B26" s="97" t="s">
        <v>326</v>
      </c>
      <c r="C26" s="71">
        <f t="shared" si="5"/>
        <v>0</v>
      </c>
      <c r="D26" s="202">
        <f>SUMIFS('Plan prihoda za unos u SAP'!$G$3:$G$501,'Plan prihoda za unos u SAP'!$C$3:$C$501,"=11",'Plan prihoda za unos u SAP'!$K$3:$K$501,"=683")</f>
        <v>0</v>
      </c>
      <c r="E26" s="202">
        <f>SUMIFS('Plan prihoda za unos u SAP'!$G$3:$G$501,'Plan prihoda za unos u SAP'!$C$3:$C$501,"=12",'Plan prihoda za unos u SAP'!$K$3:$K$501,"=683")</f>
        <v>0</v>
      </c>
      <c r="F26" s="202">
        <f>SUMIFS('Plan prihoda za unos u SAP'!$G$3:$G$501,'Plan prihoda za unos u SAP'!$C$3:$C$501,"=31",'Plan prihoda za unos u SAP'!$K$3:$K$501,"=683")</f>
        <v>0</v>
      </c>
      <c r="G26" s="202">
        <f>SUMIFS('Plan prihoda za unos u SAP'!$G$3:$G$501,'Plan prihoda za unos u SAP'!$C$3:$C$501,"=41",'Plan prihoda za unos u SAP'!$K$3:$K$501,"=683")</f>
        <v>0</v>
      </c>
      <c r="H26" s="202">
        <f>SUMIFS('Plan prihoda za unos u SAP'!$G$3:$G$501,'Plan prihoda za unos u SAP'!$C$3:$C$501,"=43",'Plan prihoda za unos u SAP'!$K$3:$K$501,"=683")</f>
        <v>0</v>
      </c>
      <c r="I26" s="202">
        <f>SUMIFS('Plan prihoda za unos u SAP'!$G$3:$G$501,'Plan prihoda za unos u SAP'!$C$3:$C$501,"=51",'Plan prihoda za unos u SAP'!$K$3:$K$501,"=683")</f>
        <v>0</v>
      </c>
      <c r="J26" s="202">
        <f>SUMIFS('Plan prihoda za unos u SAP'!$G$3:$G$501,'Plan prihoda za unos u SAP'!$C$3:$C$501,"=52",'Plan prihoda za unos u SAP'!$K$3:$K$501,"=683")</f>
        <v>0</v>
      </c>
      <c r="K26" s="202">
        <f>SUMIFS('Plan prihoda za unos u SAP'!$G$3:$G$501,'Plan prihoda za unos u SAP'!$C$3:$C$501,"=552",'Plan prihoda za unos u SAP'!$K$3:$K$501,"=683")</f>
        <v>0</v>
      </c>
      <c r="L26" s="202">
        <f>SUMIFS('Plan prihoda za unos u SAP'!$G$3:$G$501,'Plan prihoda za unos u SAP'!$C$3:$C$501,"=559",'Plan prihoda za unos u SAP'!$K$3:$K$501,"=683")</f>
        <v>0</v>
      </c>
      <c r="M26" s="202">
        <f>SUMIFS('Plan prihoda za unos u SAP'!$G$3:$G$501,'Plan prihoda za unos u SAP'!$C$3:$C$501,"=561",'Plan prihoda za unos u SAP'!$K$3:$K$501,"=683")</f>
        <v>0</v>
      </c>
      <c r="N26" s="202">
        <f>SUMIFS('Plan prihoda za unos u SAP'!$G$3:$G$501,'Plan prihoda za unos u SAP'!$C$3:$C$501,"=563",'Plan prihoda za unos u SAP'!$K$3:$K$501,"=683")</f>
        <v>0</v>
      </c>
      <c r="O26" s="202">
        <f>SUMIFS('Plan prihoda za unos u SAP'!$G$3:$G$501,'Plan prihoda za unos u SAP'!$C$3:$C$501,"=573",'Plan prihoda za unos u SAP'!$K$3:$K$501,"=683")</f>
        <v>0</v>
      </c>
      <c r="P26" s="202">
        <f>SUMIFS('Plan prihoda za unos u SAP'!$G$3:$G$501,'Plan prihoda za unos u SAP'!$C$3:$C$501,"=575",'Plan prihoda za unos u SAP'!$K$3:$K$501,"=683")</f>
        <v>0</v>
      </c>
      <c r="Q26" s="202">
        <f>SUMIFS('Plan prihoda za unos u SAP'!$G$3:$G$501,'Plan prihoda za unos u SAP'!$C$3:$C$501,"=61",'Plan prihoda za unos u SAP'!$K$3:$K$501,"=683")</f>
        <v>0</v>
      </c>
      <c r="R26" s="202">
        <f>SUMIFS('Plan prihoda za unos u SAP'!$G$3:$G$501,'Plan prihoda za unos u SAP'!$C$3:$C$501,"=63",'Plan prihoda za unos u SAP'!$K$3:$K$501,"=683")</f>
        <v>0</v>
      </c>
      <c r="S26" s="202">
        <f>SUMIFS('Plan prihoda za unos u SAP'!$G$3:$G$501,'Plan prihoda za unos u SAP'!$C$3:$C$501,"=71",'Plan prihoda za unos u SAP'!$K$3:$K$501,"=683")</f>
        <v>0</v>
      </c>
      <c r="T26" s="202">
        <f>SUMIFS('Plan prihoda za unos u SAP'!$G$3:$G$501,'Plan prihoda za unos u SAP'!$C$3:$C$501,"=81",'Plan prihoda za unos u SAP'!$K$3:$K$501,"=683")</f>
        <v>0</v>
      </c>
      <c r="U26" s="202">
        <f>SUMIFS('Plan prihoda za unos u SAP'!$G$3:$G$501,'Plan prihoda za unos u SAP'!$C$3:$C$501,"=83",'Plan prihoda za unos u SAP'!$K$3:$K$501,"=683")</f>
        <v>0</v>
      </c>
    </row>
    <row r="27" spans="1:21" s="91" customFormat="1">
      <c r="A27" s="99" t="s">
        <v>327</v>
      </c>
      <c r="B27" s="100" t="s">
        <v>328</v>
      </c>
      <c r="C27" s="71">
        <f t="shared" si="5"/>
        <v>137142478</v>
      </c>
      <c r="D27" s="4">
        <f>SUM(D11:D26)</f>
        <v>91667900</v>
      </c>
      <c r="E27" s="4">
        <f t="shared" ref="E27:U27" si="16">SUM(E11:E26)</f>
        <v>4900830</v>
      </c>
      <c r="F27" s="4">
        <f t="shared" si="16"/>
        <v>3088000</v>
      </c>
      <c r="G27" s="4">
        <f t="shared" si="16"/>
        <v>0</v>
      </c>
      <c r="H27" s="4">
        <f t="shared" si="16"/>
        <v>1170000</v>
      </c>
      <c r="I27" s="4">
        <f t="shared" si="16"/>
        <v>0</v>
      </c>
      <c r="J27" s="4">
        <f t="shared" si="16"/>
        <v>3544361</v>
      </c>
      <c r="K27" s="4">
        <f t="shared" si="16"/>
        <v>0</v>
      </c>
      <c r="L27" s="4">
        <f t="shared" si="16"/>
        <v>0</v>
      </c>
      <c r="M27" s="4">
        <f t="shared" si="16"/>
        <v>27771387</v>
      </c>
      <c r="N27" s="4">
        <f t="shared" si="16"/>
        <v>0</v>
      </c>
      <c r="O27" s="4">
        <f t="shared" si="16"/>
        <v>0</v>
      </c>
      <c r="P27" s="4">
        <f t="shared" si="16"/>
        <v>0</v>
      </c>
      <c r="Q27" s="4">
        <f>SUM(Q11:Q26)</f>
        <v>5000000</v>
      </c>
      <c r="R27" s="4">
        <f t="shared" si="16"/>
        <v>0</v>
      </c>
      <c r="S27" s="4">
        <f t="shared" si="16"/>
        <v>0</v>
      </c>
      <c r="T27" s="4">
        <f t="shared" si="16"/>
        <v>0</v>
      </c>
      <c r="U27" s="4">
        <f t="shared" si="16"/>
        <v>0</v>
      </c>
    </row>
    <row r="28" spans="1:21" s="91" customFormat="1">
      <c r="A28" s="96" t="s">
        <v>340</v>
      </c>
      <c r="B28" s="101" t="s">
        <v>341</v>
      </c>
      <c r="C28" s="71">
        <f t="shared" si="5"/>
        <v>0</v>
      </c>
      <c r="D28" s="202">
        <f>SUMIFS('Plan prihoda za unos u SAP'!$G$3:$G$501,'Plan prihoda za unos u SAP'!$C$3:$C$501,"=11",'Plan prihoda za unos u SAP'!$K$3:$K$501,"=711")</f>
        <v>0</v>
      </c>
      <c r="E28" s="202">
        <f>SUMIFS('Plan prihoda za unos u SAP'!$G$3:$G$501,'Plan prihoda za unos u SAP'!$C$3:$C$501,"=12",'Plan prihoda za unos u SAP'!$K$3:$K$501,"=711")</f>
        <v>0</v>
      </c>
      <c r="F28" s="202">
        <f>SUMIFS('Plan prihoda za unos u SAP'!$G$3:$G$501,'Plan prihoda za unos u SAP'!$C$3:$C$501,"=31",'Plan prihoda za unos u SAP'!$K$3:$K$501,"=711")</f>
        <v>0</v>
      </c>
      <c r="G28" s="202">
        <f>SUMIFS('Plan prihoda za unos u SAP'!$G$3:$G$501,'Plan prihoda za unos u SAP'!$C$3:$C$501,"=41",'Plan prihoda za unos u SAP'!$K$3:$K$501,"=711")</f>
        <v>0</v>
      </c>
      <c r="H28" s="202">
        <f>SUMIFS('Plan prihoda za unos u SAP'!$G$3:$G$501,'Plan prihoda za unos u SAP'!$C$3:$C$501,"=43",'Plan prihoda za unos u SAP'!$K$3:$K$501,"=711")</f>
        <v>0</v>
      </c>
      <c r="I28" s="202">
        <f>SUMIFS('Plan prihoda za unos u SAP'!$G$3:$G$501,'Plan prihoda za unos u SAP'!$C$3:$C$501,"=51",'Plan prihoda za unos u SAP'!$K$3:$K$501,"=711")</f>
        <v>0</v>
      </c>
      <c r="J28" s="202">
        <f>SUMIFS('Plan prihoda za unos u SAP'!$G$3:$G$501,'Plan prihoda za unos u SAP'!$C$3:$C$501,"=52",'Plan prihoda za unos u SAP'!$K$3:$K$501,"=711")</f>
        <v>0</v>
      </c>
      <c r="K28" s="202">
        <f>SUMIFS('Plan prihoda za unos u SAP'!$G$3:$G$501,'Plan prihoda za unos u SAP'!$C$3:$C$501,"=552",'Plan prihoda za unos u SAP'!$K$3:$K$501,"=711")</f>
        <v>0</v>
      </c>
      <c r="L28" s="202">
        <f>SUMIFS('Plan prihoda za unos u SAP'!$G$3:$G$501,'Plan prihoda za unos u SAP'!$C$3:$C$501,"=559",'Plan prihoda za unos u SAP'!$K$3:$K$501,"=711")</f>
        <v>0</v>
      </c>
      <c r="M28" s="202">
        <f>SUMIFS('Plan prihoda za unos u SAP'!$G$3:$G$501,'Plan prihoda za unos u SAP'!$C$3:$C$501,"=561",'Plan prihoda za unos u SAP'!$K$3:$K$501,"=711")</f>
        <v>0</v>
      </c>
      <c r="N28" s="202">
        <f>SUMIFS('Plan prihoda za unos u SAP'!$G$3:$G$501,'Plan prihoda za unos u SAP'!$C$3:$C$501,"=563",'Plan prihoda za unos u SAP'!$K$3:$K$501,"=711")</f>
        <v>0</v>
      </c>
      <c r="O28" s="202">
        <f>SUMIFS('Plan prihoda za unos u SAP'!$G$3:$G$501,'Plan prihoda za unos u SAP'!$C$3:$C$501,"=573",'Plan prihoda za unos u SAP'!$K$3:$K$501,"=711")</f>
        <v>0</v>
      </c>
      <c r="P28" s="202">
        <f>SUMIFS('Plan prihoda za unos u SAP'!$G$3:$G$501,'Plan prihoda za unos u SAP'!$C$3:$C$501,"=575",'Plan prihoda za unos u SAP'!$K$3:$K$501,"=711")</f>
        <v>0</v>
      </c>
      <c r="Q28" s="202">
        <f>SUMIFS('Plan prihoda za unos u SAP'!$G$3:$G$501,'Plan prihoda za unos u SAP'!$C$3:$C$501,"=61",'Plan prihoda za unos u SAP'!$K$3:$K$501,"=711")</f>
        <v>0</v>
      </c>
      <c r="R28" s="202">
        <f>SUMIFS('Plan prihoda za unos u SAP'!$G$3:$G$501,'Plan prihoda za unos u SAP'!$C$3:$C$501,"=63",'Plan prihoda za unos u SAP'!$K$3:$K$501,"=711")</f>
        <v>0</v>
      </c>
      <c r="S28" s="202">
        <f>SUMIFS('Plan prihoda za unos u SAP'!$G$3:$G$501,'Plan prihoda za unos u SAP'!$C$3:$C$501,"=71",'Plan prihoda za unos u SAP'!$K$3:$K$501,"=711")</f>
        <v>0</v>
      </c>
      <c r="T28" s="202">
        <f>SUMIFS('Plan prihoda za unos u SAP'!$G$3:$G$501,'Plan prihoda za unos u SAP'!$C$3:$C$501,"=81",'Plan prihoda za unos u SAP'!$K$3:$K$501,"=711")</f>
        <v>0</v>
      </c>
      <c r="U28" s="202">
        <f>SUMIFS('Plan prihoda za unos u SAP'!$G$3:$G$501,'Plan prihoda za unos u SAP'!$C$3:$C$501,"=83",'Plan prihoda za unos u SAP'!$K$3:$K$501,"=711")</f>
        <v>0</v>
      </c>
    </row>
    <row r="29" spans="1:21" s="91" customFormat="1">
      <c r="A29" s="96" t="s">
        <v>342</v>
      </c>
      <c r="B29" s="101" t="s">
        <v>343</v>
      </c>
      <c r="C29" s="71">
        <f t="shared" si="5"/>
        <v>0</v>
      </c>
      <c r="D29" s="202">
        <f>SUMIFS('Plan prihoda za unos u SAP'!$G$3:$G$501,'Plan prihoda za unos u SAP'!$C$3:$C$501,"=11",'Plan prihoda za unos u SAP'!$K$3:$K$501,"=712")</f>
        <v>0</v>
      </c>
      <c r="E29" s="202">
        <f>SUMIFS('Plan prihoda za unos u SAP'!$G$3:$G$501,'Plan prihoda za unos u SAP'!$C$3:$C$501,"=12",'Plan prihoda za unos u SAP'!$K$3:$K$501,"=712")</f>
        <v>0</v>
      </c>
      <c r="F29" s="202">
        <f>SUMIFS('Plan prihoda za unos u SAP'!$G$3:$G$501,'Plan prihoda za unos u SAP'!$C$3:$C$501,"=31",'Plan prihoda za unos u SAP'!$K$3:$K$501,"=712")</f>
        <v>0</v>
      </c>
      <c r="G29" s="202">
        <f>SUMIFS('Plan prihoda za unos u SAP'!$G$3:$G$501,'Plan prihoda za unos u SAP'!$C$3:$C$501,"=41",'Plan prihoda za unos u SAP'!$K$3:$K$501,"=712")</f>
        <v>0</v>
      </c>
      <c r="H29" s="202">
        <f>SUMIFS('Plan prihoda za unos u SAP'!$G$3:$G$501,'Plan prihoda za unos u SAP'!$C$3:$C$501,"=43",'Plan prihoda za unos u SAP'!$K$3:$K$501,"=712")</f>
        <v>0</v>
      </c>
      <c r="I29" s="202">
        <f>SUMIFS('Plan prihoda za unos u SAP'!$G$3:$G$501,'Plan prihoda za unos u SAP'!$C$3:$C$501,"=51",'Plan prihoda za unos u SAP'!$K$3:$K$501,"=712")</f>
        <v>0</v>
      </c>
      <c r="J29" s="202">
        <f>SUMIFS('Plan prihoda za unos u SAP'!$G$3:$G$501,'Plan prihoda za unos u SAP'!$C$3:$C$501,"=52",'Plan prihoda za unos u SAP'!$K$3:$K$501,"=712")</f>
        <v>0</v>
      </c>
      <c r="K29" s="202">
        <f>SUMIFS('Plan prihoda za unos u SAP'!$G$3:$G$501,'Plan prihoda za unos u SAP'!$C$3:$C$501,"=552",'Plan prihoda za unos u SAP'!$K$3:$K$501,"=712")</f>
        <v>0</v>
      </c>
      <c r="L29" s="202">
        <f>SUMIFS('Plan prihoda za unos u SAP'!$G$3:$G$501,'Plan prihoda za unos u SAP'!$C$3:$C$501,"=559",'Plan prihoda za unos u SAP'!$K$3:$K$501,"=712")</f>
        <v>0</v>
      </c>
      <c r="M29" s="202">
        <f>SUMIFS('Plan prihoda za unos u SAP'!$G$3:$G$501,'Plan prihoda za unos u SAP'!$C$3:$C$501,"=561",'Plan prihoda za unos u SAP'!$K$3:$K$501,"=712")</f>
        <v>0</v>
      </c>
      <c r="N29" s="202">
        <f>SUMIFS('Plan prihoda za unos u SAP'!$G$3:$G$501,'Plan prihoda za unos u SAP'!$C$3:$C$501,"=563",'Plan prihoda za unos u SAP'!$K$3:$K$501,"=712")</f>
        <v>0</v>
      </c>
      <c r="O29" s="202">
        <f>SUMIFS('Plan prihoda za unos u SAP'!$G$3:$G$501,'Plan prihoda za unos u SAP'!$C$3:$C$501,"=573",'Plan prihoda za unos u SAP'!$K$3:$K$501,"=712")</f>
        <v>0</v>
      </c>
      <c r="P29" s="202">
        <f>SUMIFS('Plan prihoda za unos u SAP'!$G$3:$G$501,'Plan prihoda za unos u SAP'!$C$3:$C$501,"=575",'Plan prihoda za unos u SAP'!$K$3:$K$501,"=712")</f>
        <v>0</v>
      </c>
      <c r="Q29" s="202">
        <f>SUMIFS('Plan prihoda za unos u SAP'!$G$3:$G$501,'Plan prihoda za unos u SAP'!$C$3:$C$501,"=61",'Plan prihoda za unos u SAP'!$K$3:$K$501,"=712")</f>
        <v>0</v>
      </c>
      <c r="R29" s="202">
        <f>SUMIFS('Plan prihoda za unos u SAP'!$G$3:$G$501,'Plan prihoda za unos u SAP'!$C$3:$C$501,"=63",'Plan prihoda za unos u SAP'!$K$3:$K$501,"=712")</f>
        <v>0</v>
      </c>
      <c r="S29" s="202">
        <f>SUMIFS('Plan prihoda za unos u SAP'!$G$3:$G$501,'Plan prihoda za unos u SAP'!$C$3:$C$501,"=71",'Plan prihoda za unos u SAP'!$K$3:$K$501,"=712")</f>
        <v>0</v>
      </c>
      <c r="T29" s="202">
        <f>SUMIFS('Plan prihoda za unos u SAP'!$G$3:$G$501,'Plan prihoda za unos u SAP'!$C$3:$C$501,"=81",'Plan prihoda za unos u SAP'!$K$3:$K$501,"=712")</f>
        <v>0</v>
      </c>
      <c r="U29" s="202">
        <f>SUMIFS('Plan prihoda za unos u SAP'!$G$3:$G$501,'Plan prihoda za unos u SAP'!$C$3:$C$501,"=83",'Plan prihoda za unos u SAP'!$K$3:$K$501,"=712")</f>
        <v>0</v>
      </c>
    </row>
    <row r="30" spans="1:21" s="91" customFormat="1">
      <c r="A30" s="96" t="s">
        <v>329</v>
      </c>
      <c r="B30" s="101" t="s">
        <v>330</v>
      </c>
      <c r="C30" s="71">
        <f t="shared" si="5"/>
        <v>1000</v>
      </c>
      <c r="D30" s="202">
        <f>SUMIFS('Plan prihoda za unos u SAP'!$G$3:$G$501,'Plan prihoda za unos u SAP'!$C$3:$C$501,"=11",'Plan prihoda za unos u SAP'!$K$3:$K$501,"=721")</f>
        <v>0</v>
      </c>
      <c r="E30" s="202">
        <f>SUMIFS('Plan prihoda za unos u SAP'!$G$3:$G$501,'Plan prihoda za unos u SAP'!$C$3:$C$501,"=12",'Plan prihoda za unos u SAP'!$K$3:$K$501,"=721")</f>
        <v>0</v>
      </c>
      <c r="F30" s="202">
        <f>SUMIFS('Plan prihoda za unos u SAP'!$G$3:$G$501,'Plan prihoda za unos u SAP'!$C$3:$C$501,"=31",'Plan prihoda za unos u SAP'!$K$3:$K$501,"=721")</f>
        <v>0</v>
      </c>
      <c r="G30" s="202">
        <f>SUMIFS('Plan prihoda za unos u SAP'!$G$3:$G$501,'Plan prihoda za unos u SAP'!$C$3:$C$501,"=41",'Plan prihoda za unos u SAP'!$K$3:$K$501,"=721")</f>
        <v>0</v>
      </c>
      <c r="H30" s="202">
        <f>SUMIFS('Plan prihoda za unos u SAP'!$G$3:$G$501,'Plan prihoda za unos u SAP'!$C$3:$C$501,"=43",'Plan prihoda za unos u SAP'!$K$3:$K$501,"=721")</f>
        <v>0</v>
      </c>
      <c r="I30" s="202">
        <f>SUMIFS('Plan prihoda za unos u SAP'!$G$3:$G$501,'Plan prihoda za unos u SAP'!$C$3:$C$501,"=51",'Plan prihoda za unos u SAP'!$K$3:$K$501,"=721")</f>
        <v>0</v>
      </c>
      <c r="J30" s="202">
        <f>SUMIFS('Plan prihoda za unos u SAP'!$G$3:$G$501,'Plan prihoda za unos u SAP'!$C$3:$C$501,"=52",'Plan prihoda za unos u SAP'!$K$3:$K$501,"=721")</f>
        <v>0</v>
      </c>
      <c r="K30" s="202">
        <f>SUMIFS('Plan prihoda za unos u SAP'!$G$3:$G$501,'Plan prihoda za unos u SAP'!$C$3:$C$501,"=552",'Plan prihoda za unos u SAP'!$K$3:$K$501,"=721")</f>
        <v>0</v>
      </c>
      <c r="L30" s="202">
        <f>SUMIFS('Plan prihoda za unos u SAP'!$G$3:$G$501,'Plan prihoda za unos u SAP'!$C$3:$C$501,"=559",'Plan prihoda za unos u SAP'!$K$3:$K$501,"=721")</f>
        <v>0</v>
      </c>
      <c r="M30" s="202">
        <f>SUMIFS('Plan prihoda za unos u SAP'!$G$3:$G$501,'Plan prihoda za unos u SAP'!$C$3:$C$501,"=561",'Plan prihoda za unos u SAP'!$K$3:$K$501,"=721")</f>
        <v>0</v>
      </c>
      <c r="N30" s="202">
        <f>SUMIFS('Plan prihoda za unos u SAP'!$G$3:$G$501,'Plan prihoda za unos u SAP'!$C$3:$C$501,"=563",'Plan prihoda za unos u SAP'!$K$3:$K$501,"=721")</f>
        <v>0</v>
      </c>
      <c r="O30" s="202">
        <f>SUMIFS('Plan prihoda za unos u SAP'!$G$3:$G$501,'Plan prihoda za unos u SAP'!$C$3:$C$501,"=573",'Plan prihoda za unos u SAP'!$K$3:$K$501,"=721")</f>
        <v>0</v>
      </c>
      <c r="P30" s="202">
        <f>SUMIFS('Plan prihoda za unos u SAP'!$G$3:$G$501,'Plan prihoda za unos u SAP'!$C$3:$C$501,"=575",'Plan prihoda za unos u SAP'!$K$3:$K$501,"=721")</f>
        <v>0</v>
      </c>
      <c r="Q30" s="202">
        <f>SUMIFS('Plan prihoda za unos u SAP'!$G$3:$G$501,'Plan prihoda za unos u SAP'!$C$3:$C$501,"=61",'Plan prihoda za unos u SAP'!$K$3:$K$501,"=721")</f>
        <v>0</v>
      </c>
      <c r="R30" s="202">
        <f>SUMIFS('Plan prihoda za unos u SAP'!$G$3:$G$501,'Plan prihoda za unos u SAP'!$C$3:$C$501,"=63",'Plan prihoda za unos u SAP'!$K$3:$K$501,"=721")</f>
        <v>0</v>
      </c>
      <c r="S30" s="202">
        <f>SUMIFS('Plan prihoda za unos u SAP'!$G$3:$G$501,'Plan prihoda za unos u SAP'!$C$3:$C$501,"=71",'Plan prihoda za unos u SAP'!$K$3:$K$501,"=721")</f>
        <v>1000</v>
      </c>
      <c r="T30" s="202">
        <f>SUMIFS('Plan prihoda za unos u SAP'!$G$3:$G$501,'Plan prihoda za unos u SAP'!$C$3:$C$501,"=81",'Plan prihoda za unos u SAP'!$K$3:$K$501,"=721")</f>
        <v>0</v>
      </c>
      <c r="U30" s="202">
        <f>SUMIFS('Plan prihoda za unos u SAP'!$G$3:$G$501,'Plan prihoda za unos u SAP'!$C$3:$C$501,"=83",'Plan prihoda za unos u SAP'!$K$3:$K$501,"=721")</f>
        <v>0</v>
      </c>
    </row>
    <row r="31" spans="1:21" s="91" customFormat="1">
      <c r="A31" s="96" t="s">
        <v>331</v>
      </c>
      <c r="B31" s="101" t="s">
        <v>332</v>
      </c>
      <c r="C31" s="71">
        <f t="shared" si="5"/>
        <v>0</v>
      </c>
      <c r="D31" s="202">
        <f>SUMIFS('Plan prihoda za unos u SAP'!$G$3:$G$501,'Plan prihoda za unos u SAP'!$C$3:$C$501,"=11",'Plan prihoda za unos u SAP'!$K$3:$K$501,"=722")</f>
        <v>0</v>
      </c>
      <c r="E31" s="202">
        <f>SUMIFS('Plan prihoda za unos u SAP'!$G$3:$G$501,'Plan prihoda za unos u SAP'!$C$3:$C$501,"=12",'Plan prihoda za unos u SAP'!$K$3:$K$501,"=722")</f>
        <v>0</v>
      </c>
      <c r="F31" s="202">
        <f>SUMIFS('Plan prihoda za unos u SAP'!$G$3:$G$501,'Plan prihoda za unos u SAP'!$C$3:$C$501,"=31",'Plan prihoda za unos u SAP'!$K$3:$K$501,"=722")</f>
        <v>0</v>
      </c>
      <c r="G31" s="202">
        <f>SUMIFS('Plan prihoda za unos u SAP'!$G$3:$G$501,'Plan prihoda za unos u SAP'!$C$3:$C$501,"=41",'Plan prihoda za unos u SAP'!$K$3:$K$501,"=722")</f>
        <v>0</v>
      </c>
      <c r="H31" s="202">
        <f>SUMIFS('Plan prihoda za unos u SAP'!$G$3:$G$501,'Plan prihoda za unos u SAP'!$C$3:$C$501,"=43",'Plan prihoda za unos u SAP'!$K$3:$K$501,"=722")</f>
        <v>0</v>
      </c>
      <c r="I31" s="202">
        <f>SUMIFS('Plan prihoda za unos u SAP'!$G$3:$G$501,'Plan prihoda za unos u SAP'!$C$3:$C$501,"=51",'Plan prihoda za unos u SAP'!$K$3:$K$501,"=722")</f>
        <v>0</v>
      </c>
      <c r="J31" s="202">
        <f>SUMIFS('Plan prihoda za unos u SAP'!$G$3:$G$501,'Plan prihoda za unos u SAP'!$C$3:$C$501,"=52",'Plan prihoda za unos u SAP'!$K$3:$K$501,"=722")</f>
        <v>0</v>
      </c>
      <c r="K31" s="202">
        <f>SUMIFS('Plan prihoda za unos u SAP'!$G$3:$G$501,'Plan prihoda za unos u SAP'!$C$3:$C$501,"=552",'Plan prihoda za unos u SAP'!$K$3:$K$501,"=722")</f>
        <v>0</v>
      </c>
      <c r="L31" s="202">
        <f>SUMIFS('Plan prihoda za unos u SAP'!$G$3:$G$501,'Plan prihoda za unos u SAP'!$C$3:$C$501,"=559",'Plan prihoda za unos u SAP'!$K$3:$K$501,"=722")</f>
        <v>0</v>
      </c>
      <c r="M31" s="202">
        <f>SUMIFS('Plan prihoda za unos u SAP'!$G$3:$G$501,'Plan prihoda za unos u SAP'!$C$3:$C$501,"=561",'Plan prihoda za unos u SAP'!$K$3:$K$501,"=722")</f>
        <v>0</v>
      </c>
      <c r="N31" s="202">
        <f>SUMIFS('Plan prihoda za unos u SAP'!$G$3:$G$501,'Plan prihoda za unos u SAP'!$C$3:$C$501,"=563",'Plan prihoda za unos u SAP'!$K$3:$K$501,"=722")</f>
        <v>0</v>
      </c>
      <c r="O31" s="202">
        <f>SUMIFS('Plan prihoda za unos u SAP'!$G$3:$G$501,'Plan prihoda za unos u SAP'!$C$3:$C$501,"=573",'Plan prihoda za unos u SAP'!$K$3:$K$501,"=722")</f>
        <v>0</v>
      </c>
      <c r="P31" s="202">
        <f>SUMIFS('Plan prihoda za unos u SAP'!$G$3:$G$501,'Plan prihoda za unos u SAP'!$C$3:$C$501,"=575",'Plan prihoda za unos u SAP'!$K$3:$K$501,"=722")</f>
        <v>0</v>
      </c>
      <c r="Q31" s="202">
        <f>SUMIFS('Plan prihoda za unos u SAP'!$G$3:$G$501,'Plan prihoda za unos u SAP'!$C$3:$C$501,"=61",'Plan prihoda za unos u SAP'!$K$3:$K$501,"=722")</f>
        <v>0</v>
      </c>
      <c r="R31" s="202">
        <f>SUMIFS('Plan prihoda za unos u SAP'!$G$3:$G$501,'Plan prihoda za unos u SAP'!$C$3:$C$501,"=63",'Plan prihoda za unos u SAP'!$K$3:$K$501,"=722")</f>
        <v>0</v>
      </c>
      <c r="S31" s="202">
        <f>SUMIFS('Plan prihoda za unos u SAP'!$G$3:$G$501,'Plan prihoda za unos u SAP'!$C$3:$C$501,"=71",'Plan prihoda za unos u SAP'!$K$3:$K$501,"=722")</f>
        <v>0</v>
      </c>
      <c r="T31" s="202">
        <f>SUMIFS('Plan prihoda za unos u SAP'!$G$3:$G$501,'Plan prihoda za unos u SAP'!$C$3:$C$501,"=81",'Plan prihoda za unos u SAP'!$K$3:$K$501,"=722")</f>
        <v>0</v>
      </c>
      <c r="U31" s="202">
        <f>SUMIFS('Plan prihoda za unos u SAP'!$G$3:$G$501,'Plan prihoda za unos u SAP'!$C$3:$C$501,"=83",'Plan prihoda za unos u SAP'!$K$3:$K$501,"=722")</f>
        <v>0</v>
      </c>
    </row>
    <row r="32" spans="1:21" s="91" customFormat="1">
      <c r="A32" s="96" t="s">
        <v>333</v>
      </c>
      <c r="B32" s="101" t="s">
        <v>334</v>
      </c>
      <c r="C32" s="71">
        <f t="shared" si="5"/>
        <v>0</v>
      </c>
      <c r="D32" s="202">
        <f>SUMIFS('Plan prihoda za unos u SAP'!$G$3:$G$501,'Plan prihoda za unos u SAP'!$C$3:$C$501,"=11",'Plan prihoda za unos u SAP'!$K$3:$K$501,"=723")</f>
        <v>0</v>
      </c>
      <c r="E32" s="202">
        <f>SUMIFS('Plan prihoda za unos u SAP'!$G$3:$G$501,'Plan prihoda za unos u SAP'!$C$3:$C$501,"=12",'Plan prihoda za unos u SAP'!$K$3:$K$501,"=723")</f>
        <v>0</v>
      </c>
      <c r="F32" s="202">
        <f>SUMIFS('Plan prihoda za unos u SAP'!$G$3:$G$501,'Plan prihoda za unos u SAP'!$C$3:$C$501,"=31",'Plan prihoda za unos u SAP'!$K$3:$K$501,"=723")</f>
        <v>0</v>
      </c>
      <c r="G32" s="202">
        <f>SUMIFS('Plan prihoda za unos u SAP'!$G$3:$G$501,'Plan prihoda za unos u SAP'!$C$3:$C$501,"=41",'Plan prihoda za unos u SAP'!$K$3:$K$501,"=723")</f>
        <v>0</v>
      </c>
      <c r="H32" s="202">
        <f>SUMIFS('Plan prihoda za unos u SAP'!$G$3:$G$501,'Plan prihoda za unos u SAP'!$C$3:$C$501,"=43",'Plan prihoda za unos u SAP'!$K$3:$K$501,"=723")</f>
        <v>0</v>
      </c>
      <c r="I32" s="202">
        <f>SUMIFS('Plan prihoda za unos u SAP'!$G$3:$G$501,'Plan prihoda za unos u SAP'!$C$3:$C$501,"=51",'Plan prihoda za unos u SAP'!$K$3:$K$501,"=723")</f>
        <v>0</v>
      </c>
      <c r="J32" s="202">
        <f>SUMIFS('Plan prihoda za unos u SAP'!$G$3:$G$501,'Plan prihoda za unos u SAP'!$C$3:$C$501,"=52",'Plan prihoda za unos u SAP'!$K$3:$K$501,"=723")</f>
        <v>0</v>
      </c>
      <c r="K32" s="202">
        <f>SUMIFS('Plan prihoda za unos u SAP'!$G$3:$G$501,'Plan prihoda za unos u SAP'!$C$3:$C$501,"=552",'Plan prihoda za unos u SAP'!$K$3:$K$501,"=723")</f>
        <v>0</v>
      </c>
      <c r="L32" s="202">
        <f>SUMIFS('Plan prihoda za unos u SAP'!$G$3:$G$501,'Plan prihoda za unos u SAP'!$C$3:$C$501,"=559",'Plan prihoda za unos u SAP'!$K$3:$K$501,"=723")</f>
        <v>0</v>
      </c>
      <c r="M32" s="202">
        <f>SUMIFS('Plan prihoda za unos u SAP'!$G$3:$G$501,'Plan prihoda za unos u SAP'!$C$3:$C$501,"=561",'Plan prihoda za unos u SAP'!$K$3:$K$501,"=723")</f>
        <v>0</v>
      </c>
      <c r="N32" s="202">
        <f>SUMIFS('Plan prihoda za unos u SAP'!$G$3:$G$501,'Plan prihoda za unos u SAP'!$C$3:$C$501,"=563",'Plan prihoda za unos u SAP'!$K$3:$K$501,"=723")</f>
        <v>0</v>
      </c>
      <c r="O32" s="202">
        <f>SUMIFS('Plan prihoda za unos u SAP'!$G$3:$G$501,'Plan prihoda za unos u SAP'!$C$3:$C$501,"=573",'Plan prihoda za unos u SAP'!$K$3:$K$501,"=723")</f>
        <v>0</v>
      </c>
      <c r="P32" s="202">
        <f>SUMIFS('Plan prihoda za unos u SAP'!$G$3:$G$501,'Plan prihoda za unos u SAP'!$C$3:$C$501,"=575",'Plan prihoda za unos u SAP'!$K$3:$K$501,"=723")</f>
        <v>0</v>
      </c>
      <c r="Q32" s="202">
        <f>SUMIFS('Plan prihoda za unos u SAP'!$G$3:$G$501,'Plan prihoda za unos u SAP'!$C$3:$C$501,"=61",'Plan prihoda za unos u SAP'!$K$3:$K$501,"=723")</f>
        <v>0</v>
      </c>
      <c r="R32" s="202">
        <f>SUMIFS('Plan prihoda za unos u SAP'!$G$3:$G$501,'Plan prihoda za unos u SAP'!$C$3:$C$501,"=63",'Plan prihoda za unos u SAP'!$K$3:$K$501,"=723")</f>
        <v>0</v>
      </c>
      <c r="S32" s="202">
        <f>SUMIFS('Plan prihoda za unos u SAP'!$G$3:$G$501,'Plan prihoda za unos u SAP'!$C$3:$C$501,"=71",'Plan prihoda za unos u SAP'!$K$3:$K$501,"=723")</f>
        <v>0</v>
      </c>
      <c r="T32" s="202">
        <f>SUMIFS('Plan prihoda za unos u SAP'!$G$3:$G$501,'Plan prihoda za unos u SAP'!$C$3:$C$501,"=81",'Plan prihoda za unos u SAP'!$K$3:$K$501,"=723")</f>
        <v>0</v>
      </c>
      <c r="U32" s="202">
        <f>SUMIFS('Plan prihoda za unos u SAP'!$G$3:$G$501,'Plan prihoda za unos u SAP'!$C$3:$C$501,"=83",'Plan prihoda za unos u SAP'!$K$3:$K$501,"=723")</f>
        <v>0</v>
      </c>
    </row>
    <row r="33" spans="1:27" s="91" customFormat="1">
      <c r="A33" s="96" t="s">
        <v>344</v>
      </c>
      <c r="B33" s="101" t="s">
        <v>345</v>
      </c>
      <c r="C33" s="71">
        <f t="shared" si="5"/>
        <v>0</v>
      </c>
      <c r="D33" s="202">
        <f>SUMIFS('Plan prihoda za unos u SAP'!$G$3:$G$501,'Plan prihoda za unos u SAP'!$C$3:$C$501,"=11",'Plan prihoda za unos u SAP'!$K$3:$K$501,"=725")</f>
        <v>0</v>
      </c>
      <c r="E33" s="202">
        <f>SUMIFS('Plan prihoda za unos u SAP'!$G$3:$G$501,'Plan prihoda za unos u SAP'!$C$3:$C$501,"=12",'Plan prihoda za unos u SAP'!$K$3:$K$501,"=725")</f>
        <v>0</v>
      </c>
      <c r="F33" s="202">
        <f>SUMIFS('Plan prihoda za unos u SAP'!$G$3:$G$501,'Plan prihoda za unos u SAP'!$C$3:$C$501,"=31",'Plan prihoda za unos u SAP'!$K$3:$K$501,"=725")</f>
        <v>0</v>
      </c>
      <c r="G33" s="202">
        <f>SUMIFS('Plan prihoda za unos u SAP'!$G$3:$G$501,'Plan prihoda za unos u SAP'!$C$3:$C$501,"=41",'Plan prihoda za unos u SAP'!$K$3:$K$501,"=725")</f>
        <v>0</v>
      </c>
      <c r="H33" s="202">
        <f>SUMIFS('Plan prihoda za unos u SAP'!$G$3:$G$501,'Plan prihoda za unos u SAP'!$C$3:$C$501,"=43",'Plan prihoda za unos u SAP'!$K$3:$K$501,"=725")</f>
        <v>0</v>
      </c>
      <c r="I33" s="202">
        <f>SUMIFS('Plan prihoda za unos u SAP'!$G$3:$G$501,'Plan prihoda za unos u SAP'!$C$3:$C$501,"=51",'Plan prihoda za unos u SAP'!$K$3:$K$501,"=725")</f>
        <v>0</v>
      </c>
      <c r="J33" s="202">
        <f>SUMIFS('Plan prihoda za unos u SAP'!$G$3:$G$501,'Plan prihoda za unos u SAP'!$C$3:$C$501,"=52",'Plan prihoda za unos u SAP'!$K$3:$K$501,"=725")</f>
        <v>0</v>
      </c>
      <c r="K33" s="202">
        <f>SUMIFS('Plan prihoda za unos u SAP'!$G$3:$G$501,'Plan prihoda za unos u SAP'!$C$3:$C$501,"=552",'Plan prihoda za unos u SAP'!$K$3:$K$501,"=725")</f>
        <v>0</v>
      </c>
      <c r="L33" s="202">
        <f>SUMIFS('Plan prihoda za unos u SAP'!$G$3:$G$501,'Plan prihoda za unos u SAP'!$C$3:$C$501,"=559",'Plan prihoda za unos u SAP'!$K$3:$K$501,"=725")</f>
        <v>0</v>
      </c>
      <c r="M33" s="202">
        <f>SUMIFS('Plan prihoda za unos u SAP'!$G$3:$G$501,'Plan prihoda za unos u SAP'!$C$3:$C$501,"=561",'Plan prihoda za unos u SAP'!$K$3:$K$501,"=725")</f>
        <v>0</v>
      </c>
      <c r="N33" s="202">
        <f>SUMIFS('Plan prihoda za unos u SAP'!$G$3:$G$501,'Plan prihoda za unos u SAP'!$C$3:$C$501,"=563",'Plan prihoda za unos u SAP'!$K$3:$K$501,"=725")</f>
        <v>0</v>
      </c>
      <c r="O33" s="202">
        <f>SUMIFS('Plan prihoda za unos u SAP'!$G$3:$G$501,'Plan prihoda za unos u SAP'!$C$3:$C$501,"=573",'Plan prihoda za unos u SAP'!$K$3:$K$501,"=725")</f>
        <v>0</v>
      </c>
      <c r="P33" s="202">
        <f>SUMIFS('Plan prihoda za unos u SAP'!$G$3:$G$501,'Plan prihoda za unos u SAP'!$C$3:$C$501,"=575",'Plan prihoda za unos u SAP'!$K$3:$K$501,"=725")</f>
        <v>0</v>
      </c>
      <c r="Q33" s="202">
        <f>SUMIFS('Plan prihoda za unos u SAP'!$G$3:$G$501,'Plan prihoda za unos u SAP'!$C$3:$C$501,"=61",'Plan prihoda za unos u SAP'!$K$3:$K$501,"=725")</f>
        <v>0</v>
      </c>
      <c r="R33" s="202">
        <f>SUMIFS('Plan prihoda za unos u SAP'!$G$3:$G$501,'Plan prihoda za unos u SAP'!$C$3:$C$501,"=63",'Plan prihoda za unos u SAP'!$K$3:$K$501,"=725")</f>
        <v>0</v>
      </c>
      <c r="S33" s="202">
        <f>SUMIFS('Plan prihoda za unos u SAP'!$G$3:$G$501,'Plan prihoda za unos u SAP'!$C$3:$C$501,"=71",'Plan prihoda za unos u SAP'!$K$3:$K$501,"=725")</f>
        <v>0</v>
      </c>
      <c r="T33" s="202">
        <f>SUMIFS('Plan prihoda za unos u SAP'!$G$3:$G$501,'Plan prihoda za unos u SAP'!$C$3:$C$501,"=81",'Plan prihoda za unos u SAP'!$K$3:$K$501,"=725")</f>
        <v>0</v>
      </c>
      <c r="U33" s="202">
        <f>SUMIFS('Plan prihoda za unos u SAP'!$G$3:$G$501,'Plan prihoda za unos u SAP'!$C$3:$C$501,"=83",'Plan prihoda za unos u SAP'!$K$3:$K$501,"=725")</f>
        <v>0</v>
      </c>
    </row>
    <row r="34" spans="1:27" s="91" customFormat="1">
      <c r="A34" s="99" t="s">
        <v>335</v>
      </c>
      <c r="B34" s="100" t="s">
        <v>328</v>
      </c>
      <c r="C34" s="71">
        <f t="shared" si="5"/>
        <v>1000</v>
      </c>
      <c r="D34" s="4">
        <f t="shared" ref="D34:T34" si="17">SUM(D28:D33)</f>
        <v>0</v>
      </c>
      <c r="E34" s="4">
        <f t="shared" si="17"/>
        <v>0</v>
      </c>
      <c r="F34" s="4">
        <f t="shared" si="17"/>
        <v>0</v>
      </c>
      <c r="G34" s="4">
        <f>SUM(G28:G33)</f>
        <v>0</v>
      </c>
      <c r="H34" s="4">
        <f t="shared" si="17"/>
        <v>0</v>
      </c>
      <c r="I34" s="4">
        <f t="shared" si="17"/>
        <v>0</v>
      </c>
      <c r="J34" s="4">
        <f t="shared" si="17"/>
        <v>0</v>
      </c>
      <c r="K34" s="4">
        <f>SUM(K28:K33)</f>
        <v>0</v>
      </c>
      <c r="L34" s="4">
        <f t="shared" si="17"/>
        <v>0</v>
      </c>
      <c r="M34" s="4">
        <f t="shared" si="17"/>
        <v>0</v>
      </c>
      <c r="N34" s="4">
        <f t="shared" si="17"/>
        <v>0</v>
      </c>
      <c r="O34" s="4">
        <f t="shared" ref="O34:P34" si="18">SUM(O28:O33)</f>
        <v>0</v>
      </c>
      <c r="P34" s="4">
        <f t="shared" si="18"/>
        <v>0</v>
      </c>
      <c r="Q34" s="4">
        <f t="shared" si="17"/>
        <v>0</v>
      </c>
      <c r="R34" s="4">
        <f t="shared" si="17"/>
        <v>0</v>
      </c>
      <c r="S34" s="4">
        <f t="shared" si="17"/>
        <v>1000</v>
      </c>
      <c r="T34" s="4">
        <f t="shared" si="17"/>
        <v>0</v>
      </c>
      <c r="U34" s="4">
        <f t="shared" ref="U34" si="19">SUM(U28:U33)</f>
        <v>0</v>
      </c>
    </row>
    <row r="35" spans="1:27" s="91" customFormat="1" ht="25.5">
      <c r="A35" s="102">
        <v>812</v>
      </c>
      <c r="B35" s="103" t="s">
        <v>336</v>
      </c>
      <c r="C35" s="71">
        <f t="shared" si="5"/>
        <v>0</v>
      </c>
      <c r="D35" s="202">
        <f>SUMIFS('Plan prihoda za unos u SAP'!$G$3:$G$501,'Plan prihoda za unos u SAP'!$C$3:$C$501,"=11",'Plan prihoda za unos u SAP'!$K$3:$K$501,"=812")</f>
        <v>0</v>
      </c>
      <c r="E35" s="202">
        <f>SUMIFS('Plan prihoda za unos u SAP'!$G$3:$G$501,'Plan prihoda za unos u SAP'!$C$3:$C$501,"=12",'Plan prihoda za unos u SAP'!$K$3:$K$501,"=812")</f>
        <v>0</v>
      </c>
      <c r="F35" s="202">
        <f>SUMIFS('Plan prihoda za unos u SAP'!$G$3:$G$501,'Plan prihoda za unos u SAP'!$C$3:$C$501,"=31",'Plan prihoda za unos u SAP'!$K$3:$K$501,"=812")</f>
        <v>0</v>
      </c>
      <c r="G35" s="202">
        <f>SUMIFS('Plan prihoda za unos u SAP'!$G$3:$G$501,'Plan prihoda za unos u SAP'!$C$3:$C$501,"=41",'Plan prihoda za unos u SAP'!$K$3:$K$501,"=812")</f>
        <v>0</v>
      </c>
      <c r="H35" s="202">
        <f>SUMIFS('Plan prihoda za unos u SAP'!$G$3:$G$501,'Plan prihoda za unos u SAP'!$C$3:$C$501,"=43",'Plan prihoda za unos u SAP'!$K$3:$K$501,"=812")</f>
        <v>0</v>
      </c>
      <c r="I35" s="202">
        <f>SUMIFS('Plan prihoda za unos u SAP'!$G$3:$G$501,'Plan prihoda za unos u SAP'!$C$3:$C$501,"=51",'Plan prihoda za unos u SAP'!$K$3:$K$501,"=812")</f>
        <v>0</v>
      </c>
      <c r="J35" s="202">
        <f>SUMIFS('Plan prihoda za unos u SAP'!$G$3:$G$501,'Plan prihoda za unos u SAP'!$C$3:$C$501,"=52",'Plan prihoda za unos u SAP'!$K$3:$K$501,"=812")</f>
        <v>0</v>
      </c>
      <c r="K35" s="202">
        <f>SUMIFS('Plan prihoda za unos u SAP'!$G$3:$G$501,'Plan prihoda za unos u SAP'!$C$3:$C$501,"=552",'Plan prihoda za unos u SAP'!$K$3:$K$501,"=812")</f>
        <v>0</v>
      </c>
      <c r="L35" s="202">
        <f>SUMIFS('Plan prihoda za unos u SAP'!$G$3:$G$501,'Plan prihoda za unos u SAP'!$C$3:$C$501,"=559",'Plan prihoda za unos u SAP'!$K$3:$K$501,"=812")</f>
        <v>0</v>
      </c>
      <c r="M35" s="202">
        <f>SUMIFS('Plan prihoda za unos u SAP'!$G$3:$G$501,'Plan prihoda za unos u SAP'!$C$3:$C$501,"=561",'Plan prihoda za unos u SAP'!$K$3:$K$501,"=812")</f>
        <v>0</v>
      </c>
      <c r="N35" s="202">
        <f>SUMIFS('Plan prihoda za unos u SAP'!$G$3:$G$501,'Plan prihoda za unos u SAP'!$C$3:$C$501,"=563",'Plan prihoda za unos u SAP'!$K$3:$K$501,"=812")</f>
        <v>0</v>
      </c>
      <c r="O35" s="202">
        <f>SUMIFS('Plan prihoda za unos u SAP'!$G$3:$G$501,'Plan prihoda za unos u SAP'!$C$3:$C$501,"=573",'Plan prihoda za unos u SAP'!$K$3:$K$501,"=812")</f>
        <v>0</v>
      </c>
      <c r="P35" s="202">
        <f>SUMIFS('Plan prihoda za unos u SAP'!$G$3:$G$501,'Plan prihoda za unos u SAP'!$C$3:$C$501,"=575",'Plan prihoda za unos u SAP'!$K$3:$K$501,"=812")</f>
        <v>0</v>
      </c>
      <c r="Q35" s="202">
        <f>SUMIFS('Plan prihoda za unos u SAP'!$G$3:$G$501,'Plan prihoda za unos u SAP'!$C$3:$C$501,"=61",'Plan prihoda za unos u SAP'!$K$3:$K$501,"=812")</f>
        <v>0</v>
      </c>
      <c r="R35" s="202">
        <f>SUMIFS('Plan prihoda za unos u SAP'!$G$3:$G$501,'Plan prihoda za unos u SAP'!$C$3:$C$501,"=63",'Plan prihoda za unos u SAP'!$K$3:$K$501,"=812")</f>
        <v>0</v>
      </c>
      <c r="S35" s="202">
        <f>SUMIFS('Plan prihoda za unos u SAP'!$G$3:$G$501,'Plan prihoda za unos u SAP'!$C$3:$C$501,"=71",'Plan prihoda za unos u SAP'!$K$3:$K$501,"=812")</f>
        <v>0</v>
      </c>
      <c r="T35" s="202">
        <f>SUMIFS('Plan prihoda za unos u SAP'!$G$3:$G$501,'Plan prihoda za unos u SAP'!$C$3:$C$501,"=81",'Plan prihoda za unos u SAP'!$K$3:$K$501,"=812")</f>
        <v>0</v>
      </c>
      <c r="U35" s="202">
        <f>SUMIFS('Plan prihoda za unos u SAP'!$G$3:$G$501,'Plan prihoda za unos u SAP'!$C$3:$C$501,"=83",'Plan prihoda za unos u SAP'!$K$3:$K$501,"=812")</f>
        <v>0</v>
      </c>
    </row>
    <row r="36" spans="1:27" s="91" customFormat="1">
      <c r="A36" s="102">
        <v>818</v>
      </c>
      <c r="B36" s="103" t="s">
        <v>1674</v>
      </c>
      <c r="C36" s="71">
        <f t="shared" si="5"/>
        <v>0</v>
      </c>
      <c r="D36" s="202">
        <f>SUMIFS('Plan prihoda za unos u SAP'!$G$3:$G$501,'Plan prihoda za unos u SAP'!$C$3:$C$501,"=11",'Plan prihoda za unos u SAP'!$K$3:$K$501,"=818")</f>
        <v>0</v>
      </c>
      <c r="E36" s="202">
        <f>SUMIFS('Plan prihoda za unos u SAP'!$G$3:$G$501,'Plan prihoda za unos u SAP'!$C$3:$C$501,"=12",'Plan prihoda za unos u SAP'!$K$3:$K$501,"=818")</f>
        <v>0</v>
      </c>
      <c r="F36" s="202">
        <f>SUMIFS('Plan prihoda za unos u SAP'!$G$3:$G$501,'Plan prihoda za unos u SAP'!$C$3:$C$501,"=31",'Plan prihoda za unos u SAP'!$K$3:$K$501,"=818")</f>
        <v>0</v>
      </c>
      <c r="G36" s="202">
        <f>SUMIFS('Plan prihoda za unos u SAP'!$G$3:$G$501,'Plan prihoda za unos u SAP'!$C$3:$C$501,"=41",'Plan prihoda za unos u SAP'!$K$3:$K$501,"=818")</f>
        <v>0</v>
      </c>
      <c r="H36" s="202">
        <f>SUMIFS('Plan prihoda za unos u SAP'!$G$3:$G$501,'Plan prihoda za unos u SAP'!$C$3:$C$501,"=43",'Plan prihoda za unos u SAP'!$K$3:$K$501,"=818")</f>
        <v>0</v>
      </c>
      <c r="I36" s="202">
        <f>SUMIFS('Plan prihoda za unos u SAP'!$G$3:$G$501,'Plan prihoda za unos u SAP'!$C$3:$C$501,"=51",'Plan prihoda za unos u SAP'!$K$3:$K$501,"=818")</f>
        <v>0</v>
      </c>
      <c r="J36" s="202">
        <f>SUMIFS('Plan prihoda za unos u SAP'!$G$3:$G$501,'Plan prihoda za unos u SAP'!$C$3:$C$501,"=52",'Plan prihoda za unos u SAP'!$K$3:$K$501,"=818")</f>
        <v>0</v>
      </c>
      <c r="K36" s="202">
        <f>SUMIFS('Plan prihoda za unos u SAP'!$G$3:$G$501,'Plan prihoda za unos u SAP'!$C$3:$C$501,"=552",'Plan prihoda za unos u SAP'!$K$3:$K$501,"=818")</f>
        <v>0</v>
      </c>
      <c r="L36" s="202">
        <f>SUMIFS('Plan prihoda za unos u SAP'!$G$3:$G$501,'Plan prihoda za unos u SAP'!$C$3:$C$501,"=559",'Plan prihoda za unos u SAP'!$K$3:$K$501,"=818")</f>
        <v>0</v>
      </c>
      <c r="M36" s="202">
        <f>SUMIFS('Plan prihoda za unos u SAP'!$G$3:$G$501,'Plan prihoda za unos u SAP'!$C$3:$C$501,"=561",'Plan prihoda za unos u SAP'!$K$3:$K$501,"=818")</f>
        <v>0</v>
      </c>
      <c r="N36" s="202">
        <f>SUMIFS('Plan prihoda za unos u SAP'!$G$3:$G$501,'Plan prihoda za unos u SAP'!$C$3:$C$501,"=563",'Plan prihoda za unos u SAP'!$K$3:$K$501,"=818")</f>
        <v>0</v>
      </c>
      <c r="O36" s="202">
        <f>SUMIFS('Plan prihoda za unos u SAP'!$G$3:$G$501,'Plan prihoda za unos u SAP'!$C$3:$C$501,"=573",'Plan prihoda za unos u SAP'!$K$3:$K$501,"=818")</f>
        <v>0</v>
      </c>
      <c r="P36" s="202">
        <f>SUMIFS('Plan prihoda za unos u SAP'!$G$3:$G$501,'Plan prihoda za unos u SAP'!$C$3:$C$501,"=575",'Plan prihoda za unos u SAP'!$K$3:$K$501,"=818")</f>
        <v>0</v>
      </c>
      <c r="Q36" s="202">
        <f>SUMIFS('Plan prihoda za unos u SAP'!$G$3:$G$501,'Plan prihoda za unos u SAP'!$C$3:$C$501,"=61",'Plan prihoda za unos u SAP'!$K$3:$K$501,"=818")</f>
        <v>0</v>
      </c>
      <c r="R36" s="202">
        <f>SUMIFS('Plan prihoda za unos u SAP'!$G$3:$G$501,'Plan prihoda za unos u SAP'!$C$3:$C$501,"=63",'Plan prihoda za unos u SAP'!$K$3:$K$501,"=818")</f>
        <v>0</v>
      </c>
      <c r="S36" s="202">
        <f>SUMIFS('Plan prihoda za unos u SAP'!$G$3:$G$501,'Plan prihoda za unos u SAP'!$C$3:$C$501,"=71",'Plan prihoda za unos u SAP'!$K$3:$K$501,"=818")</f>
        <v>0</v>
      </c>
      <c r="T36" s="202">
        <f>SUMIFS('Plan prihoda za unos u SAP'!$G$3:$G$501,'Plan prihoda za unos u SAP'!$C$3:$C$501,"=81",'Plan prihoda za unos u SAP'!$K$3:$K$501,"=818")</f>
        <v>0</v>
      </c>
      <c r="U36" s="202">
        <f>SUMIFS('Plan prihoda za unos u SAP'!$G$3:$G$501,'Plan prihoda za unos u SAP'!$C$3:$C$501,"=83",'Plan prihoda za unos u SAP'!$K$3:$K$501,"=818")</f>
        <v>0</v>
      </c>
    </row>
    <row r="37" spans="1:27" s="91" customFormat="1">
      <c r="A37" s="102">
        <v>832</v>
      </c>
      <c r="B37" s="103" t="s">
        <v>1675</v>
      </c>
      <c r="C37" s="71">
        <f t="shared" si="5"/>
        <v>0</v>
      </c>
      <c r="D37" s="202">
        <f>SUMIFS('Plan prihoda za unos u SAP'!$G$3:$G$501,'Plan prihoda za unos u SAP'!$C$3:$C$501,"=11",'Plan prihoda za unos u SAP'!$K$3:$K$501,"=832")</f>
        <v>0</v>
      </c>
      <c r="E37" s="202">
        <f>SUMIFS('Plan prihoda za unos u SAP'!$G$3:$G$501,'Plan prihoda za unos u SAP'!$C$3:$C$501,"=12",'Plan prihoda za unos u SAP'!$K$3:$K$501,"=832")</f>
        <v>0</v>
      </c>
      <c r="F37" s="202">
        <f>SUMIFS('Plan prihoda za unos u SAP'!$G$3:$G$501,'Plan prihoda za unos u SAP'!$C$3:$C$501,"=31",'Plan prihoda za unos u SAP'!$K$3:$K$501,"=832")</f>
        <v>0</v>
      </c>
      <c r="G37" s="202">
        <f>SUMIFS('Plan prihoda za unos u SAP'!$G$3:$G$501,'Plan prihoda za unos u SAP'!$C$3:$C$501,"=41",'Plan prihoda za unos u SAP'!$K$3:$K$501,"=832")</f>
        <v>0</v>
      </c>
      <c r="H37" s="202">
        <f>SUMIFS('Plan prihoda za unos u SAP'!$G$3:$G$501,'Plan prihoda za unos u SAP'!$C$3:$C$501,"=43",'Plan prihoda za unos u SAP'!$K$3:$K$501,"=832")</f>
        <v>0</v>
      </c>
      <c r="I37" s="202">
        <f>SUMIFS('Plan prihoda za unos u SAP'!$G$3:$G$501,'Plan prihoda za unos u SAP'!$C$3:$C$501,"=51",'Plan prihoda za unos u SAP'!$K$3:$K$501,"=832")</f>
        <v>0</v>
      </c>
      <c r="J37" s="202">
        <f>SUMIFS('Plan prihoda za unos u SAP'!$G$3:$G$501,'Plan prihoda za unos u SAP'!$C$3:$C$501,"=52",'Plan prihoda za unos u SAP'!$K$3:$K$501,"=832")</f>
        <v>0</v>
      </c>
      <c r="K37" s="202">
        <f>SUMIFS('Plan prihoda za unos u SAP'!$G$3:$G$501,'Plan prihoda za unos u SAP'!$C$3:$C$501,"=552",'Plan prihoda za unos u SAP'!$K$3:$K$501,"=832")</f>
        <v>0</v>
      </c>
      <c r="L37" s="202">
        <f>SUMIFS('Plan prihoda za unos u SAP'!$G$3:$G$501,'Plan prihoda za unos u SAP'!$C$3:$C$501,"=559",'Plan prihoda za unos u SAP'!$K$3:$K$501,"=832")</f>
        <v>0</v>
      </c>
      <c r="M37" s="202">
        <f>SUMIFS('Plan prihoda za unos u SAP'!$G$3:$G$501,'Plan prihoda za unos u SAP'!$C$3:$C$501,"=561",'Plan prihoda za unos u SAP'!$K$3:$K$501,"=832")</f>
        <v>0</v>
      </c>
      <c r="N37" s="202">
        <f>SUMIFS('Plan prihoda za unos u SAP'!$G$3:$G$501,'Plan prihoda za unos u SAP'!$C$3:$C$501,"=563",'Plan prihoda za unos u SAP'!$K$3:$K$501,"=832")</f>
        <v>0</v>
      </c>
      <c r="O37" s="202">
        <f>SUMIFS('Plan prihoda za unos u SAP'!$G$3:$G$501,'Plan prihoda za unos u SAP'!$C$3:$C$501,"=573",'Plan prihoda za unos u SAP'!$K$3:$K$501,"=832")</f>
        <v>0</v>
      </c>
      <c r="P37" s="202">
        <f>SUMIFS('Plan prihoda za unos u SAP'!$G$3:$G$501,'Plan prihoda za unos u SAP'!$C$3:$C$501,"=575",'Plan prihoda za unos u SAP'!$K$3:$K$501,"=832")</f>
        <v>0</v>
      </c>
      <c r="Q37" s="202">
        <f>SUMIFS('Plan prihoda za unos u SAP'!$G$3:$G$501,'Plan prihoda za unos u SAP'!$C$3:$C$501,"=61",'Plan prihoda za unos u SAP'!$K$3:$K$501,"=832")</f>
        <v>0</v>
      </c>
      <c r="R37" s="202">
        <f>SUMIFS('Plan prihoda za unos u SAP'!$G$3:$G$501,'Plan prihoda za unos u SAP'!$C$3:$C$501,"=63",'Plan prihoda za unos u SAP'!$K$3:$K$501,"=832")</f>
        <v>0</v>
      </c>
      <c r="S37" s="202">
        <f>SUMIFS('Plan prihoda za unos u SAP'!$G$3:$G$501,'Plan prihoda za unos u SAP'!$C$3:$C$501,"=71",'Plan prihoda za unos u SAP'!$K$3:$K$501,"=832")</f>
        <v>0</v>
      </c>
      <c r="T37" s="202">
        <f>SUMIFS('Plan prihoda za unos u SAP'!$G$3:$G$501,'Plan prihoda za unos u SAP'!$C$3:$C$501,"=81",'Plan prihoda za unos u SAP'!$K$3:$K$501,"=832")</f>
        <v>0</v>
      </c>
      <c r="U37" s="202">
        <f>SUMIFS('Plan prihoda za unos u SAP'!$G$3:$G$501,'Plan prihoda za unos u SAP'!$C$3:$C$501,"=83",'Plan prihoda za unos u SAP'!$K$3:$K$501,"=832")</f>
        <v>0</v>
      </c>
    </row>
    <row r="38" spans="1:27" s="91" customFormat="1" ht="25.5">
      <c r="A38" s="102">
        <v>841</v>
      </c>
      <c r="B38" s="103" t="s">
        <v>1676</v>
      </c>
      <c r="C38" s="71">
        <f t="shared" si="5"/>
        <v>0</v>
      </c>
      <c r="D38" s="202">
        <f>SUMIFS('Plan prihoda za unos u SAP'!$G$3:$G$501,'Plan prihoda za unos u SAP'!$C$3:$C$501,"=11",'Plan prihoda za unos u SAP'!$K$3:$K$501,"=841")</f>
        <v>0</v>
      </c>
      <c r="E38" s="202">
        <f>SUMIFS('Plan prihoda za unos u SAP'!$G$3:$G$501,'Plan prihoda za unos u SAP'!$C$3:$C$501,"=12",'Plan prihoda za unos u SAP'!$K$3:$K$501,"=841")</f>
        <v>0</v>
      </c>
      <c r="F38" s="202">
        <f>SUMIFS('Plan prihoda za unos u SAP'!$G$3:$G$501,'Plan prihoda za unos u SAP'!$C$3:$C$501,"=31",'Plan prihoda za unos u SAP'!$K$3:$K$501,"=841")</f>
        <v>0</v>
      </c>
      <c r="G38" s="202">
        <f>SUMIFS('Plan prihoda za unos u SAP'!$G$3:$G$501,'Plan prihoda za unos u SAP'!$C$3:$C$501,"=41",'Plan prihoda za unos u SAP'!$K$3:$K$501,"=841")</f>
        <v>0</v>
      </c>
      <c r="H38" s="202">
        <f>SUMIFS('Plan prihoda za unos u SAP'!$G$3:$G$501,'Plan prihoda za unos u SAP'!$C$3:$C$501,"=43",'Plan prihoda za unos u SAP'!$K$3:$K$501,"=841")</f>
        <v>0</v>
      </c>
      <c r="I38" s="202">
        <f>SUMIFS('Plan prihoda za unos u SAP'!$G$3:$G$501,'Plan prihoda za unos u SAP'!$C$3:$C$501,"=51",'Plan prihoda za unos u SAP'!$K$3:$K$501,"=841")</f>
        <v>0</v>
      </c>
      <c r="J38" s="202">
        <f>SUMIFS('Plan prihoda za unos u SAP'!$G$3:$G$501,'Plan prihoda za unos u SAP'!$C$3:$C$501,"=52",'Plan prihoda za unos u SAP'!$K$3:$K$501,"=841")</f>
        <v>0</v>
      </c>
      <c r="K38" s="202">
        <f>SUMIFS('Plan prihoda za unos u SAP'!$G$3:$G$501,'Plan prihoda za unos u SAP'!$C$3:$C$501,"=552",'Plan prihoda za unos u SAP'!$K$3:$K$501,"=841")</f>
        <v>0</v>
      </c>
      <c r="L38" s="202">
        <f>SUMIFS('Plan prihoda za unos u SAP'!$G$3:$G$501,'Plan prihoda za unos u SAP'!$C$3:$C$501,"=559",'Plan prihoda za unos u SAP'!$K$3:$K$501,"=841")</f>
        <v>0</v>
      </c>
      <c r="M38" s="202">
        <f>SUMIFS('Plan prihoda za unos u SAP'!$G$3:$G$501,'Plan prihoda za unos u SAP'!$C$3:$C$501,"=561",'Plan prihoda za unos u SAP'!$K$3:$K$501,"=841")</f>
        <v>0</v>
      </c>
      <c r="N38" s="202">
        <f>SUMIFS('Plan prihoda za unos u SAP'!$G$3:$G$501,'Plan prihoda za unos u SAP'!$C$3:$C$501,"=563",'Plan prihoda za unos u SAP'!$K$3:$K$501,"=841")</f>
        <v>0</v>
      </c>
      <c r="O38" s="202">
        <f>SUMIFS('Plan prihoda za unos u SAP'!$G$3:$G$501,'Plan prihoda za unos u SAP'!$C$3:$C$501,"=573",'Plan prihoda za unos u SAP'!$K$3:$K$501,"=841")</f>
        <v>0</v>
      </c>
      <c r="P38" s="202">
        <f>SUMIFS('Plan prihoda za unos u SAP'!$G$3:$G$501,'Plan prihoda za unos u SAP'!$C$3:$C$501,"=575",'Plan prihoda za unos u SAP'!$K$3:$K$501,"=841")</f>
        <v>0</v>
      </c>
      <c r="Q38" s="202">
        <f>SUMIFS('Plan prihoda za unos u SAP'!$G$3:$G$501,'Plan prihoda za unos u SAP'!$C$3:$C$501,"=61",'Plan prihoda za unos u SAP'!$K$3:$K$501,"=841")</f>
        <v>0</v>
      </c>
      <c r="R38" s="202">
        <f>SUMIFS('Plan prihoda za unos u SAP'!$G$3:$G$501,'Plan prihoda za unos u SAP'!$C$3:$C$501,"=63",'Plan prihoda za unos u SAP'!$K$3:$K$501,"=841")</f>
        <v>0</v>
      </c>
      <c r="S38" s="202">
        <f>SUMIFS('Plan prihoda za unos u SAP'!$G$3:$G$501,'Plan prihoda za unos u SAP'!$C$3:$C$501,"=71",'Plan prihoda za unos u SAP'!$K$3:$K$501,"=841")</f>
        <v>0</v>
      </c>
      <c r="T38" s="202">
        <f>SUMIFS('Plan prihoda za unos u SAP'!$G$3:$G$501,'Plan prihoda za unos u SAP'!$C$3:$C$501,"=81",'Plan prihoda za unos u SAP'!$K$3:$K$501,"=841")</f>
        <v>0</v>
      </c>
      <c r="U38" s="202">
        <f>SUMIFS('Plan prihoda za unos u SAP'!$G$3:$G$501,'Plan prihoda za unos u SAP'!$C$3:$C$501,"=83",'Plan prihoda za unos u SAP'!$K$3:$K$501,"=841")</f>
        <v>0</v>
      </c>
    </row>
    <row r="39" spans="1:27" s="91" customFormat="1" ht="25.5">
      <c r="A39" s="102">
        <v>842</v>
      </c>
      <c r="B39" s="103" t="s">
        <v>346</v>
      </c>
      <c r="C39" s="71">
        <f>SUM(D39:U39)</f>
        <v>0</v>
      </c>
      <c r="D39" s="202">
        <f>SUMIFS('Plan prihoda za unos u SAP'!$G$3:$G$501,'Plan prihoda za unos u SAP'!$C$3:$C$501,"=11",'Plan prihoda za unos u SAP'!$K$3:$K$501,"=842")</f>
        <v>0</v>
      </c>
      <c r="E39" s="202">
        <f>SUMIFS('Plan prihoda za unos u SAP'!$G$3:$G$501,'Plan prihoda za unos u SAP'!$C$3:$C$501,"=12",'Plan prihoda za unos u SAP'!$K$3:$K$501,"=842")</f>
        <v>0</v>
      </c>
      <c r="F39" s="202">
        <f>SUMIFS('Plan prihoda za unos u SAP'!$G$3:$G$501,'Plan prihoda za unos u SAP'!$C$3:$C$501,"=31",'Plan prihoda za unos u SAP'!$K$3:$K$501,"=842")</f>
        <v>0</v>
      </c>
      <c r="G39" s="202">
        <f>SUMIFS('Plan prihoda za unos u SAP'!$G$3:$G$501,'Plan prihoda za unos u SAP'!$C$3:$C$501,"=41",'Plan prihoda za unos u SAP'!$K$3:$K$501,"=842")</f>
        <v>0</v>
      </c>
      <c r="H39" s="202">
        <f>SUMIFS('Plan prihoda za unos u SAP'!$G$3:$G$501,'Plan prihoda za unos u SAP'!$C$3:$C$501,"=43",'Plan prihoda za unos u SAP'!$K$3:$K$501,"=842")</f>
        <v>0</v>
      </c>
      <c r="I39" s="202">
        <f>SUMIFS('Plan prihoda za unos u SAP'!$G$3:$G$501,'Plan prihoda za unos u SAP'!$C$3:$C$501,"=51",'Plan prihoda za unos u SAP'!$K$3:$K$501,"=842")</f>
        <v>0</v>
      </c>
      <c r="J39" s="202">
        <f>SUMIFS('Plan prihoda za unos u SAP'!$G$3:$G$501,'Plan prihoda za unos u SAP'!$C$3:$C$501,"=52",'Plan prihoda za unos u SAP'!$K$3:$K$501,"=842")</f>
        <v>0</v>
      </c>
      <c r="K39" s="202">
        <f>SUMIFS('Plan prihoda za unos u SAP'!$G$3:$G$501,'Plan prihoda za unos u SAP'!$C$3:$C$501,"=552",'Plan prihoda za unos u SAP'!$K$3:$K$501,"=842")</f>
        <v>0</v>
      </c>
      <c r="L39" s="202">
        <f>SUMIFS('Plan prihoda za unos u SAP'!$G$3:$G$501,'Plan prihoda za unos u SAP'!$C$3:$C$501,"=559",'Plan prihoda za unos u SAP'!$K$3:$K$501,"=842")</f>
        <v>0</v>
      </c>
      <c r="M39" s="202">
        <f>SUMIFS('Plan prihoda za unos u SAP'!$G$3:$G$501,'Plan prihoda za unos u SAP'!$C$3:$C$501,"=561",'Plan prihoda za unos u SAP'!$K$3:$K$501,"=842")</f>
        <v>0</v>
      </c>
      <c r="N39" s="202">
        <f>SUMIFS('Plan prihoda za unos u SAP'!$G$3:$G$501,'Plan prihoda za unos u SAP'!$C$3:$C$501,"=563",'Plan prihoda za unos u SAP'!$K$3:$K$501,"=842")</f>
        <v>0</v>
      </c>
      <c r="O39" s="202">
        <f>SUMIFS('Plan prihoda za unos u SAP'!$G$3:$G$501,'Plan prihoda za unos u SAP'!$C$3:$C$501,"=573",'Plan prihoda za unos u SAP'!$K$3:$K$501,"=842")</f>
        <v>0</v>
      </c>
      <c r="P39" s="202">
        <f>SUMIFS('Plan prihoda za unos u SAP'!$G$3:$G$501,'Plan prihoda za unos u SAP'!$C$3:$C$501,"=575",'Plan prihoda za unos u SAP'!$K$3:$K$501,"=842")</f>
        <v>0</v>
      </c>
      <c r="Q39" s="202">
        <f>SUMIFS('Plan prihoda za unos u SAP'!$G$3:$G$501,'Plan prihoda za unos u SAP'!$C$3:$C$501,"=61",'Plan prihoda za unos u SAP'!$K$3:$K$501,"=842")</f>
        <v>0</v>
      </c>
      <c r="R39" s="202">
        <f>SUMIFS('Plan prihoda za unos u SAP'!$G$3:$G$501,'Plan prihoda za unos u SAP'!$C$3:$C$501,"=63",'Plan prihoda za unos u SAP'!$K$3:$K$501,"=842")</f>
        <v>0</v>
      </c>
      <c r="S39" s="202">
        <f>SUMIFS('Plan prihoda za unos u SAP'!$G$3:$G$501,'Plan prihoda za unos u SAP'!$C$3:$C$501,"=71",'Plan prihoda za unos u SAP'!$K$3:$K$501,"=842")</f>
        <v>0</v>
      </c>
      <c r="T39" s="202">
        <f>SUMIFS('Plan prihoda za unos u SAP'!$G$3:$G$501,'Plan prihoda za unos u SAP'!$C$3:$C$501,"=81",'Plan prihoda za unos u SAP'!$K$3:$K$501,"=842")</f>
        <v>0</v>
      </c>
      <c r="U39" s="202">
        <f>SUMIFS('Plan prihoda za unos u SAP'!$G$3:$G$501,'Plan prihoda za unos u SAP'!$C$3:$C$501,"=83",'Plan prihoda za unos u SAP'!$K$3:$K$501,"=842")</f>
        <v>0</v>
      </c>
    </row>
    <row r="40" spans="1:27" s="91" customFormat="1">
      <c r="A40" s="99" t="s">
        <v>337</v>
      </c>
      <c r="B40" s="100" t="s">
        <v>328</v>
      </c>
      <c r="C40" s="71">
        <f t="shared" si="5"/>
        <v>0</v>
      </c>
      <c r="D40" s="4">
        <f>SUM(D35:D39)</f>
        <v>0</v>
      </c>
      <c r="E40" s="4">
        <f t="shared" ref="E40:T40" si="20">SUM(E35:E39)</f>
        <v>0</v>
      </c>
      <c r="F40" s="4">
        <f t="shared" si="20"/>
        <v>0</v>
      </c>
      <c r="G40" s="4">
        <f>SUM(G35:G39)</f>
        <v>0</v>
      </c>
      <c r="H40" s="4">
        <f t="shared" si="20"/>
        <v>0</v>
      </c>
      <c r="I40" s="4">
        <f>SUM(I35:I39)</f>
        <v>0</v>
      </c>
      <c r="J40" s="4">
        <f t="shared" si="20"/>
        <v>0</v>
      </c>
      <c r="K40" s="4">
        <f>SUM(K35:K39)</f>
        <v>0</v>
      </c>
      <c r="L40" s="4">
        <f t="shared" si="20"/>
        <v>0</v>
      </c>
      <c r="M40" s="4">
        <f t="shared" si="20"/>
        <v>0</v>
      </c>
      <c r="N40" s="4">
        <f t="shared" si="20"/>
        <v>0</v>
      </c>
      <c r="O40" s="4">
        <f t="shared" ref="O40:P40" si="21">SUM(O35:O39)</f>
        <v>0</v>
      </c>
      <c r="P40" s="4">
        <f t="shared" si="21"/>
        <v>0</v>
      </c>
      <c r="Q40" s="4">
        <f t="shared" si="20"/>
        <v>0</v>
      </c>
      <c r="R40" s="4">
        <f t="shared" si="20"/>
        <v>0</v>
      </c>
      <c r="S40" s="4">
        <f t="shared" si="20"/>
        <v>0</v>
      </c>
      <c r="T40" s="4">
        <f t="shared" si="20"/>
        <v>0</v>
      </c>
      <c r="U40" s="4">
        <f>SUM(U35:U39)</f>
        <v>0</v>
      </c>
    </row>
    <row r="41" spans="1:27" s="91" customFormat="1">
      <c r="A41" s="279" t="s">
        <v>338</v>
      </c>
      <c r="B41" s="279"/>
      <c r="C41" s="71">
        <f>SUM(D41:U41)</f>
        <v>137143478</v>
      </c>
      <c r="D41" s="72">
        <f>+D40+D34+D27</f>
        <v>91667900</v>
      </c>
      <c r="E41" s="72">
        <f t="shared" ref="E41:S41" si="22">+E40+E34+E27</f>
        <v>4900830</v>
      </c>
      <c r="F41" s="72">
        <f t="shared" si="22"/>
        <v>3088000</v>
      </c>
      <c r="G41" s="72">
        <f t="shared" ref="G41" si="23">+G40+G34+G27</f>
        <v>0</v>
      </c>
      <c r="H41" s="72">
        <f t="shared" si="22"/>
        <v>1170000</v>
      </c>
      <c r="I41" s="72">
        <f t="shared" si="22"/>
        <v>0</v>
      </c>
      <c r="J41" s="72">
        <f t="shared" si="22"/>
        <v>3544361</v>
      </c>
      <c r="K41" s="72">
        <f t="shared" ref="K41" si="24">+K40+K34+K27</f>
        <v>0</v>
      </c>
      <c r="L41" s="72">
        <f>+L40+L34+L27</f>
        <v>0</v>
      </c>
      <c r="M41" s="72">
        <f t="shared" si="22"/>
        <v>27771387</v>
      </c>
      <c r="N41" s="72">
        <f t="shared" si="22"/>
        <v>0</v>
      </c>
      <c r="O41" s="72">
        <f t="shared" ref="O41:P41" si="25">+O40+O34+O27</f>
        <v>0</v>
      </c>
      <c r="P41" s="72">
        <f t="shared" si="25"/>
        <v>0</v>
      </c>
      <c r="Q41" s="72">
        <f t="shared" si="22"/>
        <v>5000000</v>
      </c>
      <c r="R41" s="72">
        <f t="shared" si="22"/>
        <v>0</v>
      </c>
      <c r="S41" s="72">
        <f t="shared" si="22"/>
        <v>1000</v>
      </c>
      <c r="T41" s="72">
        <f>+T40+T34+T27</f>
        <v>0</v>
      </c>
      <c r="U41" s="72">
        <f>+U40+U34+U27</f>
        <v>0</v>
      </c>
    </row>
    <row r="42" spans="1:27">
      <c r="A42" s="63"/>
      <c r="B42" s="63"/>
      <c r="C42" s="63"/>
      <c r="D42" s="63"/>
      <c r="E42" s="63"/>
      <c r="F42" s="63"/>
      <c r="G42" s="63"/>
      <c r="H42" s="104"/>
      <c r="I42" s="105"/>
      <c r="J42" s="105"/>
      <c r="K42" s="105"/>
      <c r="L42" s="105"/>
      <c r="M42" s="105"/>
      <c r="N42" s="105"/>
      <c r="O42" s="105"/>
      <c r="P42" s="105"/>
      <c r="T42" s="92"/>
      <c r="U42" s="92"/>
    </row>
    <row r="43" spans="1:27" s="91" customFormat="1" ht="15.75">
      <c r="A43" s="274" t="s">
        <v>291</v>
      </c>
      <c r="B43" s="275"/>
      <c r="C43" s="276" t="s">
        <v>54</v>
      </c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8"/>
      <c r="U43" s="250"/>
    </row>
    <row r="44" spans="1:27" s="91" customFormat="1" ht="89.25">
      <c r="A44" s="93" t="s">
        <v>292</v>
      </c>
      <c r="B44" s="93" t="s">
        <v>293</v>
      </c>
      <c r="C44" s="195" t="s">
        <v>294</v>
      </c>
      <c r="D44" s="251" t="s">
        <v>375</v>
      </c>
      <c r="E44" s="251" t="s">
        <v>347</v>
      </c>
      <c r="F44" s="252" t="s">
        <v>19</v>
      </c>
      <c r="G44" s="252" t="s">
        <v>1667</v>
      </c>
      <c r="H44" s="252" t="s">
        <v>20</v>
      </c>
      <c r="I44" s="252" t="s">
        <v>295</v>
      </c>
      <c r="J44" s="252" t="s">
        <v>296</v>
      </c>
      <c r="K44" s="252" t="s">
        <v>1668</v>
      </c>
      <c r="L44" s="252" t="s">
        <v>297</v>
      </c>
      <c r="M44" s="252" t="s">
        <v>298</v>
      </c>
      <c r="N44" s="252" t="s">
        <v>299</v>
      </c>
      <c r="O44" s="252" t="s">
        <v>1669</v>
      </c>
      <c r="P44" s="252" t="s">
        <v>1670</v>
      </c>
      <c r="Q44" s="252" t="s">
        <v>300</v>
      </c>
      <c r="R44" s="94" t="s">
        <v>301</v>
      </c>
      <c r="S44" s="94" t="s">
        <v>339</v>
      </c>
      <c r="T44" s="94" t="s">
        <v>1638</v>
      </c>
      <c r="U44" s="94"/>
    </row>
    <row r="45" spans="1:27" s="91" customFormat="1">
      <c r="A45" s="96"/>
      <c r="B45" s="97" t="s">
        <v>11</v>
      </c>
      <c r="C45" s="71">
        <f>SUM(D45:U45)</f>
        <v>0</v>
      </c>
      <c r="D45" s="201">
        <f t="shared" ref="D45:U45" si="26">-D7</f>
        <v>0</v>
      </c>
      <c r="E45" s="201">
        <f t="shared" si="26"/>
        <v>0</v>
      </c>
      <c r="F45" s="201">
        <f t="shared" si="26"/>
        <v>0</v>
      </c>
      <c r="G45" s="201">
        <f t="shared" si="26"/>
        <v>0</v>
      </c>
      <c r="H45" s="201">
        <f t="shared" si="26"/>
        <v>0</v>
      </c>
      <c r="I45" s="201">
        <f t="shared" si="26"/>
        <v>0</v>
      </c>
      <c r="J45" s="201">
        <f t="shared" si="26"/>
        <v>0</v>
      </c>
      <c r="K45" s="201">
        <f t="shared" si="26"/>
        <v>0</v>
      </c>
      <c r="L45" s="201">
        <f t="shared" si="26"/>
        <v>0</v>
      </c>
      <c r="M45" s="201">
        <f t="shared" si="26"/>
        <v>0</v>
      </c>
      <c r="N45" s="201">
        <f t="shared" si="26"/>
        <v>0</v>
      </c>
      <c r="O45" s="201">
        <f t="shared" si="26"/>
        <v>0</v>
      </c>
      <c r="P45" s="201">
        <f t="shared" si="26"/>
        <v>0</v>
      </c>
      <c r="Q45" s="201">
        <f t="shared" si="26"/>
        <v>0</v>
      </c>
      <c r="R45" s="201">
        <f t="shared" si="26"/>
        <v>0</v>
      </c>
      <c r="S45" s="201">
        <f t="shared" si="26"/>
        <v>0</v>
      </c>
      <c r="T45" s="201">
        <f t="shared" si="26"/>
        <v>0</v>
      </c>
      <c r="U45" s="201">
        <f t="shared" si="26"/>
        <v>0</v>
      </c>
      <c r="V45" s="95"/>
      <c r="W45" s="95"/>
      <c r="X45" s="95"/>
      <c r="Y45" s="95"/>
      <c r="Z45" s="95"/>
      <c r="AA45" s="95"/>
    </row>
    <row r="46" spans="1:27" s="91" customFormat="1">
      <c r="A46" s="115"/>
      <c r="B46" s="116" t="s">
        <v>371</v>
      </c>
      <c r="C46" s="71">
        <f t="shared" ref="C46:C78" si="27">SUM(D46:U46)</f>
        <v>107065698</v>
      </c>
      <c r="D46" s="15">
        <f t="shared" ref="D46:T46" si="28">+D67+D74</f>
        <v>64475723</v>
      </c>
      <c r="E46" s="15">
        <f t="shared" si="28"/>
        <v>4998847</v>
      </c>
      <c r="F46" s="15">
        <f t="shared" si="28"/>
        <v>3073000</v>
      </c>
      <c r="G46" s="15">
        <f t="shared" ref="G46" si="29">+G67+G74</f>
        <v>0</v>
      </c>
      <c r="H46" s="15">
        <f t="shared" si="28"/>
        <v>1170000</v>
      </c>
      <c r="I46" s="15">
        <f t="shared" si="28"/>
        <v>0</v>
      </c>
      <c r="J46" s="15">
        <f t="shared" si="28"/>
        <v>20313</v>
      </c>
      <c r="K46" s="15">
        <f t="shared" ref="K46" si="30">+K67+K74</f>
        <v>0</v>
      </c>
      <c r="L46" s="15">
        <f t="shared" si="28"/>
        <v>0</v>
      </c>
      <c r="M46" s="15">
        <f t="shared" si="28"/>
        <v>28326815</v>
      </c>
      <c r="N46" s="15">
        <f t="shared" si="28"/>
        <v>0</v>
      </c>
      <c r="O46" s="15">
        <f t="shared" ref="O46:P46" si="31">+O67+O74</f>
        <v>0</v>
      </c>
      <c r="P46" s="15">
        <f t="shared" si="31"/>
        <v>0</v>
      </c>
      <c r="Q46" s="15">
        <f t="shared" si="28"/>
        <v>5000000</v>
      </c>
      <c r="R46" s="15">
        <f t="shared" si="28"/>
        <v>0</v>
      </c>
      <c r="S46" s="15">
        <f t="shared" si="28"/>
        <v>1000</v>
      </c>
      <c r="T46" s="15">
        <f t="shared" si="28"/>
        <v>0</v>
      </c>
      <c r="U46" s="15">
        <f t="shared" ref="U46" si="32">+U67+U74</f>
        <v>0</v>
      </c>
    </row>
    <row r="47" spans="1:27" s="91" customFormat="1">
      <c r="A47" s="96"/>
      <c r="B47" s="97" t="s">
        <v>374</v>
      </c>
      <c r="C47" s="71">
        <f>SUM(D47:U47)</f>
        <v>0</v>
      </c>
      <c r="D47" s="114"/>
      <c r="E47" s="114"/>
      <c r="F47" s="114"/>
      <c r="G47" s="114"/>
      <c r="H47" s="114"/>
      <c r="I47" s="114"/>
      <c r="J47" s="114"/>
      <c r="K47" s="114"/>
      <c r="L47" s="3"/>
      <c r="M47" s="114"/>
      <c r="N47" s="114"/>
      <c r="O47" s="114"/>
      <c r="P47" s="114"/>
      <c r="Q47" s="114"/>
      <c r="R47" s="114"/>
      <c r="S47" s="114"/>
      <c r="T47" s="114"/>
      <c r="U47" s="114"/>
      <c r="V47" s="95"/>
      <c r="W47" s="95"/>
      <c r="X47" s="95"/>
      <c r="Y47" s="95"/>
      <c r="Z47" s="95"/>
      <c r="AA47" s="95"/>
    </row>
    <row r="48" spans="1:27" s="91" customFormat="1">
      <c r="A48" s="115"/>
      <c r="B48" s="116" t="s">
        <v>302</v>
      </c>
      <c r="C48" s="71">
        <f t="shared" si="27"/>
        <v>107065698</v>
      </c>
      <c r="D48" s="15">
        <f>+D45+D46+D47</f>
        <v>64475723</v>
      </c>
      <c r="E48" s="15">
        <f t="shared" ref="E48:T48" si="33">+E45+E46+E47</f>
        <v>4998847</v>
      </c>
      <c r="F48" s="15">
        <f t="shared" si="33"/>
        <v>3073000</v>
      </c>
      <c r="G48" s="15">
        <f t="shared" ref="G48" si="34">+G45+G46+G47</f>
        <v>0</v>
      </c>
      <c r="H48" s="15">
        <f t="shared" si="33"/>
        <v>1170000</v>
      </c>
      <c r="I48" s="15">
        <f t="shared" si="33"/>
        <v>0</v>
      </c>
      <c r="J48" s="15">
        <f t="shared" si="33"/>
        <v>20313</v>
      </c>
      <c r="K48" s="15">
        <f t="shared" ref="K48" si="35">+K45+K46+K47</f>
        <v>0</v>
      </c>
      <c r="L48" s="15">
        <f t="shared" si="33"/>
        <v>0</v>
      </c>
      <c r="M48" s="15">
        <f t="shared" si="33"/>
        <v>28326815</v>
      </c>
      <c r="N48" s="15">
        <f t="shared" si="33"/>
        <v>0</v>
      </c>
      <c r="O48" s="15">
        <f t="shared" ref="O48:P48" si="36">+O45+O46+O47</f>
        <v>0</v>
      </c>
      <c r="P48" s="15">
        <f t="shared" si="36"/>
        <v>0</v>
      </c>
      <c r="Q48" s="15">
        <f t="shared" si="33"/>
        <v>5000000</v>
      </c>
      <c r="R48" s="15">
        <f t="shared" si="33"/>
        <v>0</v>
      </c>
      <c r="S48" s="15">
        <f t="shared" si="33"/>
        <v>1000</v>
      </c>
      <c r="T48" s="15">
        <f t="shared" si="33"/>
        <v>0</v>
      </c>
      <c r="U48" s="15">
        <f t="shared" ref="U48" si="37">+U45+U46+U47</f>
        <v>0</v>
      </c>
    </row>
    <row r="49" spans="1:27" s="91" customFormat="1">
      <c r="A49" s="112"/>
      <c r="B49" s="113" t="s">
        <v>249</v>
      </c>
      <c r="C49" s="71">
        <f t="shared" si="27"/>
        <v>112065698</v>
      </c>
      <c r="D49" s="137">
        <f>+'PLAN RASHODA I IZDATAKA'!D71</f>
        <v>64475723</v>
      </c>
      <c r="E49" s="137">
        <f>+'PLAN RASHODA I IZDATAKA'!E71</f>
        <v>4998847</v>
      </c>
      <c r="F49" s="137">
        <f>+'PLAN RASHODA I IZDATAKA'!F71</f>
        <v>3073000</v>
      </c>
      <c r="G49" s="137">
        <f>+'PLAN RASHODA I IZDATAKA'!G71</f>
        <v>0</v>
      </c>
      <c r="H49" s="137">
        <f>+'PLAN RASHODA I IZDATAKA'!H71</f>
        <v>1170000</v>
      </c>
      <c r="I49" s="137">
        <f>+'PLAN RASHODA I IZDATAKA'!I71</f>
        <v>0</v>
      </c>
      <c r="J49" s="137">
        <f>+'PLAN RASHODA I IZDATAKA'!J71</f>
        <v>20313</v>
      </c>
      <c r="K49" s="137">
        <f>+'PLAN RASHODA I IZDATAKA'!K71</f>
        <v>0</v>
      </c>
      <c r="L49" s="137">
        <f>+'PLAN RASHODA I IZDATAKA'!L71</f>
        <v>0</v>
      </c>
      <c r="M49" s="137">
        <f>+'PLAN RASHODA I IZDATAKA'!M71</f>
        <v>28326815</v>
      </c>
      <c r="N49" s="137">
        <f>+'PLAN RASHODA I IZDATAKA'!N71</f>
        <v>0</v>
      </c>
      <c r="O49" s="137">
        <f>+'PLAN RASHODA I IZDATAKA'!O71</f>
        <v>0</v>
      </c>
      <c r="P49" s="137">
        <f>+'PLAN RASHODA I IZDATAKA'!Q71</f>
        <v>5000000</v>
      </c>
      <c r="Q49" s="137">
        <f>+'PLAN RASHODA I IZDATAKA'!Q71</f>
        <v>5000000</v>
      </c>
      <c r="R49" s="137">
        <f>+'PLAN RASHODA I IZDATAKA'!R71</f>
        <v>0</v>
      </c>
      <c r="S49" s="137">
        <f>+'PLAN RASHODA I IZDATAKA'!S71</f>
        <v>1000</v>
      </c>
      <c r="T49" s="137">
        <f>+'PLAN RASHODA I IZDATAKA'!T71</f>
        <v>0</v>
      </c>
      <c r="U49" s="137">
        <f>+'PLAN RASHODA I IZDATAKA'!U71</f>
        <v>0</v>
      </c>
      <c r="V49" s="95"/>
      <c r="W49" s="95"/>
      <c r="X49" s="95"/>
      <c r="Y49" s="95"/>
      <c r="Z49" s="95"/>
      <c r="AA49" s="95"/>
    </row>
    <row r="50" spans="1:27" s="91" customFormat="1" ht="13.5" thickBot="1">
      <c r="A50" s="117"/>
      <c r="B50" s="118" t="s">
        <v>373</v>
      </c>
      <c r="C50" s="70">
        <f t="shared" si="27"/>
        <v>-5000000</v>
      </c>
      <c r="D50" s="119">
        <f>+D48-D49</f>
        <v>0</v>
      </c>
      <c r="E50" s="119">
        <f t="shared" ref="E50:T50" si="38">+E48-E49</f>
        <v>0</v>
      </c>
      <c r="F50" s="119">
        <f t="shared" si="38"/>
        <v>0</v>
      </c>
      <c r="G50" s="119">
        <f t="shared" ref="G50" si="39">+G48-G49</f>
        <v>0</v>
      </c>
      <c r="H50" s="119">
        <f t="shared" si="38"/>
        <v>0</v>
      </c>
      <c r="I50" s="119">
        <f t="shared" si="38"/>
        <v>0</v>
      </c>
      <c r="J50" s="119">
        <f t="shared" si="38"/>
        <v>0</v>
      </c>
      <c r="K50" s="119">
        <f t="shared" ref="K50" si="40">+K48-K49</f>
        <v>0</v>
      </c>
      <c r="L50" s="119">
        <f t="shared" si="38"/>
        <v>0</v>
      </c>
      <c r="M50" s="119">
        <f t="shared" si="38"/>
        <v>0</v>
      </c>
      <c r="N50" s="119">
        <f t="shared" si="38"/>
        <v>0</v>
      </c>
      <c r="O50" s="119">
        <f t="shared" ref="O50:P50" si="41">+O48-O49</f>
        <v>0</v>
      </c>
      <c r="P50" s="119">
        <f t="shared" si="41"/>
        <v>-5000000</v>
      </c>
      <c r="Q50" s="119">
        <f t="shared" si="38"/>
        <v>0</v>
      </c>
      <c r="R50" s="119">
        <f t="shared" si="38"/>
        <v>0</v>
      </c>
      <c r="S50" s="119">
        <f t="shared" si="38"/>
        <v>0</v>
      </c>
      <c r="T50" s="119">
        <f t="shared" si="38"/>
        <v>0</v>
      </c>
      <c r="U50" s="119">
        <f t="shared" ref="U50" si="42">+U48-U49</f>
        <v>0</v>
      </c>
    </row>
    <row r="51" spans="1:27" s="91" customFormat="1">
      <c r="A51" s="98" t="s">
        <v>1672</v>
      </c>
      <c r="B51" s="111" t="s">
        <v>1673</v>
      </c>
      <c r="C51" s="71">
        <f t="shared" ref="C51" si="43">SUM(D51:U51)</f>
        <v>0</v>
      </c>
      <c r="D51" s="202">
        <f>SUMIFS('Plan prihoda za unos u SAP'!$H$3:$H$501,'Plan prihoda za unos u SAP'!$C$3:$C$501,"=11",'Plan prihoda za unos u SAP'!$K$3:$K$501,"=614")</f>
        <v>0</v>
      </c>
      <c r="E51" s="202">
        <f>SUMIFS('Plan prihoda za unos u SAP'!$H$3:$H$501,'Plan prihoda za unos u SAP'!$C$3:$C$501,"=12",'Plan prihoda za unos u SAP'!$K$3:$K$501,"=614")</f>
        <v>0</v>
      </c>
      <c r="F51" s="202">
        <f>SUMIFS('Plan prihoda za unos u SAP'!$H$3:$H$501,'Plan prihoda za unos u SAP'!$C$3:$C$501,"=31",'Plan prihoda za unos u SAP'!$K$3:$K$501,"=614")</f>
        <v>0</v>
      </c>
      <c r="G51" s="202">
        <f>SUMIFS('Plan prihoda za unos u SAP'!$H$3:$H$501,'Plan prihoda za unos u SAP'!$C$3:$C$501,"=41",'Plan prihoda za unos u SAP'!$K$3:$K$501,"=614")</f>
        <v>0</v>
      </c>
      <c r="H51" s="202">
        <f>SUMIFS('Plan prihoda za unos u SAP'!$H$3:$H$501,'Plan prihoda za unos u SAP'!$C$3:$C$501,"=43",'Plan prihoda za unos u SAP'!$K$3:$K$501,"=614")</f>
        <v>0</v>
      </c>
      <c r="I51" s="202">
        <f>SUMIFS('Plan prihoda za unos u SAP'!$H$3:$H$501,'Plan prihoda za unos u SAP'!$C$3:$C$501,"=51",'Plan prihoda za unos u SAP'!$K$3:$K$501,"=614")</f>
        <v>0</v>
      </c>
      <c r="J51" s="202">
        <f>SUMIFS('Plan prihoda za unos u SAP'!$H$3:$H$501,'Plan prihoda za unos u SAP'!$C$3:$C$501,"=52",'Plan prihoda za unos u SAP'!$K$3:$K$501,"=614")</f>
        <v>0</v>
      </c>
      <c r="K51" s="202">
        <f>SUMIFS('Plan prihoda za unos u SAP'!$H$3:$H$501,'Plan prihoda za unos u SAP'!$C$3:$C$501,"=552",'Plan prihoda za unos u SAP'!$K$3:$K$501,"=614")</f>
        <v>0</v>
      </c>
      <c r="L51" s="202">
        <f>SUMIFS('Plan prihoda za unos u SAP'!$H$3:$H$501,'Plan prihoda za unos u SAP'!$C$3:$C$501,"=559",'Plan prihoda za unos u SAP'!$K$3:$K$501,"=614")</f>
        <v>0</v>
      </c>
      <c r="M51" s="202">
        <f>SUMIFS('Plan prihoda za unos u SAP'!$H$3:$H$501,'Plan prihoda za unos u SAP'!$C$3:$C$501,"=561",'Plan prihoda za unos u SAP'!$K$3:$K$501,"=614")</f>
        <v>0</v>
      </c>
      <c r="N51" s="202">
        <f>SUMIFS('Plan prihoda za unos u SAP'!$H$3:$H$501,'Plan prihoda za unos u SAP'!$C$3:$C$501,"=563",'Plan prihoda za unos u SAP'!$K$3:$K$501,"=614")</f>
        <v>0</v>
      </c>
      <c r="O51" s="202">
        <f>SUMIFS('Plan prihoda za unos u SAP'!$H$3:$H$501,'Plan prihoda za unos u SAP'!$C$3:$C$501,"=573",'Plan prihoda za unos u SAP'!$K$3:$K$501,"=614")</f>
        <v>0</v>
      </c>
      <c r="P51" s="202">
        <f>SUMIFS('Plan prihoda za unos u SAP'!$H$3:$H$501,'Plan prihoda za unos u SAP'!$C$3:$C$501,"=575",'Plan prihoda za unos u SAP'!$K$3:$K$501,"=614")</f>
        <v>0</v>
      </c>
      <c r="Q51" s="202">
        <f>SUMIFS('Plan prihoda za unos u SAP'!$H$3:$H$501,'Plan prihoda za unos u SAP'!$C$3:$C$501,"=61",'Plan prihoda za unos u SAP'!$K$3:$K$501,"=614")</f>
        <v>0</v>
      </c>
      <c r="R51" s="202">
        <f>SUMIFS('Plan prihoda za unos u SAP'!$H$3:$H$501,'Plan prihoda za unos u SAP'!$C$3:$C$501,"=63",'Plan prihoda za unos u SAP'!$K$3:$K$501,"=614")</f>
        <v>0</v>
      </c>
      <c r="S51" s="202">
        <f>SUMIFS('Plan prihoda za unos u SAP'!$H$3:$H$501,'Plan prihoda za unos u SAP'!$C$3:$C$501,"=71",'Plan prihoda za unos u SAP'!$K$3:$K$501,"=614")</f>
        <v>0</v>
      </c>
      <c r="T51" s="202">
        <f>SUMIFS('Plan prihoda za unos u SAP'!$H$3:$H$501,'Plan prihoda za unos u SAP'!$C$3:$C$501,"=81",'Plan prihoda za unos u SAP'!$K$3:$K$501,"=614")</f>
        <v>0</v>
      </c>
      <c r="U51" s="202">
        <f>SUMIFS('Plan prihoda za unos u SAP'!$H$3:$H$501,'Plan prihoda za unos u SAP'!$C$3:$C$501,"=83",'Plan prihoda za unos u SAP'!$K$3:$K$501,"=614")</f>
        <v>0</v>
      </c>
    </row>
    <row r="52" spans="1:27" s="91" customFormat="1">
      <c r="A52" s="98" t="s">
        <v>303</v>
      </c>
      <c r="B52" s="97" t="s">
        <v>304</v>
      </c>
      <c r="C52" s="71">
        <f t="shared" si="27"/>
        <v>0</v>
      </c>
      <c r="D52" s="202">
        <f>SUMIFS('Plan prihoda za unos u SAP'!$H$3:$H$501,'Plan prihoda za unos u SAP'!$C$3:$C$501,"=11",'Plan prihoda za unos u SAP'!$K$3:$K$501,"=631")</f>
        <v>0</v>
      </c>
      <c r="E52" s="202">
        <f>SUMIFS('Plan prihoda za unos u SAP'!$H$3:$H$501,'Plan prihoda za unos u SAP'!$C$3:$C$501,"=12",'Plan prihoda za unos u SAP'!$K$3:$K$501,"=631")</f>
        <v>0</v>
      </c>
      <c r="F52" s="202">
        <f>SUMIFS('Plan prihoda za unos u SAP'!$H$3:$H$501,'Plan prihoda za unos u SAP'!$C$3:$C$501,"=31",'Plan prihoda za unos u SAP'!$K$3:$K$501,"=631")</f>
        <v>0</v>
      </c>
      <c r="G52" s="202">
        <f>SUMIFS('Plan prihoda za unos u SAP'!$H$3:$H$501,'Plan prihoda za unos u SAP'!$C$3:$C$501,"=41",'Plan prihoda za unos u SAP'!$K$3:$K$501,"=631")</f>
        <v>0</v>
      </c>
      <c r="H52" s="202">
        <f>SUMIFS('Plan prihoda za unos u SAP'!$H$3:$H$501,'Plan prihoda za unos u SAP'!$C$3:$C$501,"=43",'Plan prihoda za unos u SAP'!$K$3:$K$501,"=631")</f>
        <v>0</v>
      </c>
      <c r="I52" s="202">
        <f>SUMIFS('Plan prihoda za unos u SAP'!$H$3:$H$501,'Plan prihoda za unos u SAP'!$C$3:$C$501,"=51",'Plan prihoda za unos u SAP'!$K$3:$K$501,"=631")</f>
        <v>0</v>
      </c>
      <c r="J52" s="202">
        <f>SUMIFS('Plan prihoda za unos u SAP'!$H$3:$H$501,'Plan prihoda za unos u SAP'!$C$3:$C$501,"=52",'Plan prihoda za unos u SAP'!$K$3:$K$501,"=631")</f>
        <v>0</v>
      </c>
      <c r="K52" s="202">
        <f>SUMIFS('Plan prihoda za unos u SAP'!$H$3:$H$501,'Plan prihoda za unos u SAP'!$C$3:$C$501,"=552",'Plan prihoda za unos u SAP'!$K$3:$K$501,"=631")</f>
        <v>0</v>
      </c>
      <c r="L52" s="202">
        <f>SUMIFS('Plan prihoda za unos u SAP'!$H$3:$H$501,'Plan prihoda za unos u SAP'!$C$3:$C$501,"=559",'Plan prihoda za unos u SAP'!$K$3:$K$501,"=631")</f>
        <v>0</v>
      </c>
      <c r="M52" s="202">
        <f>SUMIFS('Plan prihoda za unos u SAP'!$H$3:$H$501,'Plan prihoda za unos u SAP'!$C$3:$C$501,"=561",'Plan prihoda za unos u SAP'!$K$3:$K$501,"=631")</f>
        <v>0</v>
      </c>
      <c r="N52" s="202">
        <f>SUMIFS('Plan prihoda za unos u SAP'!$H$3:$H$501,'Plan prihoda za unos u SAP'!$C$3:$C$501,"=563",'Plan prihoda za unos u SAP'!$K$3:$K$501,"=631")</f>
        <v>0</v>
      </c>
      <c r="O52" s="202">
        <f>SUMIFS('Plan prihoda za unos u SAP'!$H$3:$H$501,'Plan prihoda za unos u SAP'!$C$3:$C$501,"=573",'Plan prihoda za unos u SAP'!$K$3:$K$501,"=631")</f>
        <v>0</v>
      </c>
      <c r="P52" s="202">
        <f>SUMIFS('Plan prihoda za unos u SAP'!$H$3:$H$501,'Plan prihoda za unos u SAP'!$C$3:$C$501,"=575",'Plan prihoda za unos u SAP'!$K$3:$K$501,"=631")</f>
        <v>0</v>
      </c>
      <c r="Q52" s="202">
        <f>SUMIFS('Plan prihoda za unos u SAP'!$H$3:$H$501,'Plan prihoda za unos u SAP'!$C$3:$C$501,"=61",'Plan prihoda za unos u SAP'!$K$3:$K$501,"=631")</f>
        <v>0</v>
      </c>
      <c r="R52" s="202">
        <f>SUMIFS('Plan prihoda za unos u SAP'!$H$3:$H$501,'Plan prihoda za unos u SAP'!$C$3:$C$501,"=63",'Plan prihoda za unos u SAP'!$K$3:$K$501,"=631")</f>
        <v>0</v>
      </c>
      <c r="S52" s="202">
        <f>SUMIFS('Plan prihoda za unos u SAP'!$H$3:$H$501,'Plan prihoda za unos u SAP'!$C$3:$C$501,"=71",'Plan prihoda za unos u SAP'!$K$3:$K$501,"=631")</f>
        <v>0</v>
      </c>
      <c r="T52" s="202">
        <f>SUMIFS('Plan prihoda za unos u SAP'!$H$3:$H$501,'Plan prihoda za unos u SAP'!$C$3:$C$501,"=81",'Plan prihoda za unos u SAP'!$K$3:$K$501,"=631")</f>
        <v>0</v>
      </c>
      <c r="U52" s="202">
        <f>SUMIFS('Plan prihoda za unos u SAP'!$H$3:$H$501,'Plan prihoda za unos u SAP'!$C$3:$C$501,"=83",'Plan prihoda za unos u SAP'!$K$3:$K$501,"=631")</f>
        <v>0</v>
      </c>
    </row>
    <row r="53" spans="1:27" s="91" customFormat="1">
      <c r="A53" s="96" t="s">
        <v>305</v>
      </c>
      <c r="B53" s="97" t="s">
        <v>306</v>
      </c>
      <c r="C53" s="71">
        <f t="shared" si="27"/>
        <v>28326815</v>
      </c>
      <c r="D53" s="202">
        <f>SUMIFS('Plan prihoda za unos u SAP'!$H$3:$H$501,'Plan prihoda za unos u SAP'!$C$3:$C$501,"=11",'Plan prihoda za unos u SAP'!$K$3:$K$501,"=632")</f>
        <v>0</v>
      </c>
      <c r="E53" s="202">
        <f>SUMIFS('Plan prihoda za unos u SAP'!$H$3:$H$501,'Plan prihoda za unos u SAP'!$C$3:$C$501,"=12",'Plan prihoda za unos u SAP'!$K$3:$K$501,"=632")</f>
        <v>0</v>
      </c>
      <c r="F53" s="202">
        <f>SUMIFS('Plan prihoda za unos u SAP'!$H$3:$H$501,'Plan prihoda za unos u SAP'!$C$3:$C$501,"=31",'Plan prihoda za unos u SAP'!$K$3:$K$501,"=632")</f>
        <v>0</v>
      </c>
      <c r="G53" s="202">
        <f>SUMIFS('Plan prihoda za unos u SAP'!$H$3:$H$501,'Plan prihoda za unos u SAP'!$C$3:$C$501,"=41",'Plan prihoda za unos u SAP'!$K$3:$K$501,"=632")</f>
        <v>0</v>
      </c>
      <c r="H53" s="202">
        <f>SUMIFS('Plan prihoda za unos u SAP'!$H$3:$H$501,'Plan prihoda za unos u SAP'!$C$3:$C$501,"=43",'Plan prihoda za unos u SAP'!$K$3:$K$501,"=632")</f>
        <v>0</v>
      </c>
      <c r="I53" s="202">
        <f>SUMIFS('Plan prihoda za unos u SAP'!$H$3:$H$501,'Plan prihoda za unos u SAP'!$C$3:$C$501,"=51",'Plan prihoda za unos u SAP'!$K$3:$K$501,"=632")</f>
        <v>0</v>
      </c>
      <c r="J53" s="202">
        <f>SUMIFS('Plan prihoda za unos u SAP'!$H$3:$H$501,'Plan prihoda za unos u SAP'!$C$3:$C$501,"=52",'Plan prihoda za unos u SAP'!$K$3:$K$501,"=632")</f>
        <v>0</v>
      </c>
      <c r="K53" s="202">
        <f>SUMIFS('Plan prihoda za unos u SAP'!$H$3:$H$501,'Plan prihoda za unos u SAP'!$C$3:$C$501,"=552",'Plan prihoda za unos u SAP'!$K$3:$K$501,"=632")</f>
        <v>0</v>
      </c>
      <c r="L53" s="202">
        <f>SUMIFS('Plan prihoda za unos u SAP'!$H$3:$H$501,'Plan prihoda za unos u SAP'!$C$3:$C$501,"=559",'Plan prihoda za unos u SAP'!$K$3:$K$501,"=632")</f>
        <v>0</v>
      </c>
      <c r="M53" s="202">
        <f>SUMIFS('Plan prihoda za unos u SAP'!$H$3:$H$501,'Plan prihoda za unos u SAP'!$C$3:$C$501,"=561",'Plan prihoda za unos u SAP'!$K$3:$K$501,"=632")</f>
        <v>28326815</v>
      </c>
      <c r="N53" s="202">
        <f>SUMIFS('Plan prihoda za unos u SAP'!$H$3:$H$501,'Plan prihoda za unos u SAP'!$C$3:$C$501,"=563",'Plan prihoda za unos u SAP'!$K$3:$K$501,"=632")</f>
        <v>0</v>
      </c>
      <c r="O53" s="202">
        <f>SUMIFS('Plan prihoda za unos u SAP'!$H$3:$H$501,'Plan prihoda za unos u SAP'!$C$3:$C$501,"=573",'Plan prihoda za unos u SAP'!$K$3:$K$501,"=632")</f>
        <v>0</v>
      </c>
      <c r="P53" s="202">
        <f>SUMIFS('Plan prihoda za unos u SAP'!$H$3:$H$501,'Plan prihoda za unos u SAP'!$C$3:$C$501,"=575",'Plan prihoda za unos u SAP'!$K$3:$K$501,"=632")</f>
        <v>0</v>
      </c>
      <c r="Q53" s="202">
        <f>SUMIFS('Plan prihoda za unos u SAP'!$H$3:$H$501,'Plan prihoda za unos u SAP'!$C$3:$C$501,"=61",'Plan prihoda za unos u SAP'!$K$3:$K$501,"=632")</f>
        <v>0</v>
      </c>
      <c r="R53" s="202">
        <f>SUMIFS('Plan prihoda za unos u SAP'!$H$3:$H$501,'Plan prihoda za unos u SAP'!$C$3:$C$501,"=63",'Plan prihoda za unos u SAP'!$K$3:$K$501,"=632")</f>
        <v>0</v>
      </c>
      <c r="S53" s="202">
        <f>SUMIFS('Plan prihoda za unos u SAP'!$H$3:$H$501,'Plan prihoda za unos u SAP'!$C$3:$C$501,"=71",'Plan prihoda za unos u SAP'!$K$3:$K$501,"=632")</f>
        <v>0</v>
      </c>
      <c r="T53" s="202">
        <f>SUMIFS('Plan prihoda za unos u SAP'!$H$3:$H$501,'Plan prihoda za unos u SAP'!$C$3:$C$501,"=81",'Plan prihoda za unos u SAP'!$K$3:$K$501,"=632")</f>
        <v>0</v>
      </c>
      <c r="U53" s="202">
        <f>SUMIFS('Plan prihoda za unos u SAP'!$H$3:$H$501,'Plan prihoda za unos u SAP'!$C$3:$C$501,"=83",'Plan prihoda za unos u SAP'!$K$3:$K$501,"=632")</f>
        <v>0</v>
      </c>
    </row>
    <row r="54" spans="1:27" s="91" customFormat="1">
      <c r="A54" s="96" t="s">
        <v>307</v>
      </c>
      <c r="B54" s="97" t="s">
        <v>308</v>
      </c>
      <c r="C54" s="71">
        <f t="shared" si="27"/>
        <v>0</v>
      </c>
      <c r="D54" s="202">
        <f>SUMIFS('Plan prihoda za unos u SAP'!$H$3:$H$501,'Plan prihoda za unos u SAP'!$C$3:$C$501,"=11",'Plan prihoda za unos u SAP'!$K$3:$K$501,"=634")</f>
        <v>0</v>
      </c>
      <c r="E54" s="202">
        <f>SUMIFS('Plan prihoda za unos u SAP'!$H$3:$H$501,'Plan prihoda za unos u SAP'!$C$3:$C$501,"=12",'Plan prihoda za unos u SAP'!$K$3:$K$501,"=634")</f>
        <v>0</v>
      </c>
      <c r="F54" s="202">
        <f>SUMIFS('Plan prihoda za unos u SAP'!$H$3:$H$501,'Plan prihoda za unos u SAP'!$C$3:$C$501,"=31",'Plan prihoda za unos u SAP'!$K$3:$K$501,"=634")</f>
        <v>0</v>
      </c>
      <c r="G54" s="202">
        <f>SUMIFS('Plan prihoda za unos u SAP'!$H$3:$H$501,'Plan prihoda za unos u SAP'!$C$3:$C$501,"=41",'Plan prihoda za unos u SAP'!$K$3:$K$501,"=634")</f>
        <v>0</v>
      </c>
      <c r="H54" s="202">
        <f>SUMIFS('Plan prihoda za unos u SAP'!$H$3:$H$501,'Plan prihoda za unos u SAP'!$C$3:$C$501,"=43",'Plan prihoda za unos u SAP'!$K$3:$K$501,"=634")</f>
        <v>0</v>
      </c>
      <c r="I54" s="202">
        <f>SUMIFS('Plan prihoda za unos u SAP'!$H$3:$H$501,'Plan prihoda za unos u SAP'!$C$3:$C$501,"=51",'Plan prihoda za unos u SAP'!$K$3:$K$501,"=634")</f>
        <v>0</v>
      </c>
      <c r="J54" s="202">
        <f>SUMIFS('Plan prihoda za unos u SAP'!$H$3:$H$501,'Plan prihoda za unos u SAP'!$C$3:$C$501,"=52",'Plan prihoda za unos u SAP'!$K$3:$K$501,"=634")</f>
        <v>0</v>
      </c>
      <c r="K54" s="202">
        <f>SUMIFS('Plan prihoda za unos u SAP'!$H$3:$H$501,'Plan prihoda za unos u SAP'!$C$3:$C$501,"=552",'Plan prihoda za unos u SAP'!$K$3:$K$501,"=634")</f>
        <v>0</v>
      </c>
      <c r="L54" s="202">
        <f>SUMIFS('Plan prihoda za unos u SAP'!$H$3:$H$501,'Plan prihoda za unos u SAP'!$C$3:$C$501,"=559",'Plan prihoda za unos u SAP'!$K$3:$K$501,"=634")</f>
        <v>0</v>
      </c>
      <c r="M54" s="202">
        <f>SUMIFS('Plan prihoda za unos u SAP'!$H$3:$H$501,'Plan prihoda za unos u SAP'!$C$3:$C$501,"=561",'Plan prihoda za unos u SAP'!$K$3:$K$501,"=634")</f>
        <v>0</v>
      </c>
      <c r="N54" s="202">
        <f>SUMIFS('Plan prihoda za unos u SAP'!$H$3:$H$501,'Plan prihoda za unos u SAP'!$C$3:$C$501,"=563",'Plan prihoda za unos u SAP'!$K$3:$K$501,"=634")</f>
        <v>0</v>
      </c>
      <c r="O54" s="202">
        <f>SUMIFS('Plan prihoda za unos u SAP'!$H$3:$H$501,'Plan prihoda za unos u SAP'!$C$3:$C$501,"=573",'Plan prihoda za unos u SAP'!$K$3:$K$501,"=634")</f>
        <v>0</v>
      </c>
      <c r="P54" s="202">
        <f>SUMIFS('Plan prihoda za unos u SAP'!$H$3:$H$501,'Plan prihoda za unos u SAP'!$C$3:$C$501,"=575",'Plan prihoda za unos u SAP'!$K$3:$K$501,"=634")</f>
        <v>0</v>
      </c>
      <c r="Q54" s="202">
        <f>SUMIFS('Plan prihoda za unos u SAP'!$H$3:$H$501,'Plan prihoda za unos u SAP'!$C$3:$C$501,"=61",'Plan prihoda za unos u SAP'!$K$3:$K$501,"=634")</f>
        <v>0</v>
      </c>
      <c r="R54" s="202">
        <f>SUMIFS('Plan prihoda za unos u SAP'!$H$3:$H$501,'Plan prihoda za unos u SAP'!$C$3:$C$501,"=63",'Plan prihoda za unos u SAP'!$K$3:$K$501,"=634")</f>
        <v>0</v>
      </c>
      <c r="S54" s="202">
        <f>SUMIFS('Plan prihoda za unos u SAP'!$H$3:$H$501,'Plan prihoda za unos u SAP'!$C$3:$C$501,"=71",'Plan prihoda za unos u SAP'!$K$3:$K$501,"=634")</f>
        <v>0</v>
      </c>
      <c r="T54" s="202">
        <f>SUMIFS('Plan prihoda za unos u SAP'!$H$3:$H$501,'Plan prihoda za unos u SAP'!$C$3:$C$501,"=81",'Plan prihoda za unos u SAP'!$K$3:$K$501,"=634")</f>
        <v>0</v>
      </c>
      <c r="U54" s="202">
        <f>SUMIFS('Plan prihoda za unos u SAP'!$H$3:$H$501,'Plan prihoda za unos u SAP'!$C$3:$C$501,"=83",'Plan prihoda za unos u SAP'!$K$3:$K$501,"=634")</f>
        <v>0</v>
      </c>
    </row>
    <row r="55" spans="1:27" s="91" customFormat="1">
      <c r="A55" s="247" t="s">
        <v>815</v>
      </c>
      <c r="B55" s="97" t="s">
        <v>816</v>
      </c>
      <c r="C55" s="71">
        <f t="shared" si="27"/>
        <v>0</v>
      </c>
      <c r="D55" s="202">
        <f>SUMIFS('Plan prihoda za unos u SAP'!$H$3:$H$501,'Plan prihoda za unos u SAP'!$C$3:$C$501,"=11",'Plan prihoda za unos u SAP'!$K$3:$K$501,"=636")</f>
        <v>0</v>
      </c>
      <c r="E55" s="202">
        <f>SUMIFS('Plan prihoda za unos u SAP'!$H$3:$H$501,'Plan prihoda za unos u SAP'!$C$3:$C$501,"=12",'Plan prihoda za unos u SAP'!$K$3:$K$501,"=636")</f>
        <v>0</v>
      </c>
      <c r="F55" s="202">
        <f>SUMIFS('Plan prihoda za unos u SAP'!$H$3:$H$501,'Plan prihoda za unos u SAP'!$C$3:$C$501,"=31",'Plan prihoda za unos u SAP'!$K$3:$K$501,"=636")</f>
        <v>0</v>
      </c>
      <c r="G55" s="202">
        <f>SUMIFS('Plan prihoda za unos u SAP'!$H$3:$H$501,'Plan prihoda za unos u SAP'!$C$3:$C$501,"=41",'Plan prihoda za unos u SAP'!$K$3:$K$501,"=636")</f>
        <v>0</v>
      </c>
      <c r="H55" s="202">
        <f>SUMIFS('Plan prihoda za unos u SAP'!$H$3:$H$501,'Plan prihoda za unos u SAP'!$C$3:$C$501,"=43",'Plan prihoda za unos u SAP'!$K$3:$K$501,"=636")</f>
        <v>0</v>
      </c>
      <c r="I55" s="202">
        <f>SUMIFS('Plan prihoda za unos u SAP'!$H$3:$H$501,'Plan prihoda za unos u SAP'!$C$3:$C$501,"=51",'Plan prihoda za unos u SAP'!$K$3:$K$501,"=636")</f>
        <v>0</v>
      </c>
      <c r="J55" s="202">
        <f>SUMIFS('Plan prihoda za unos u SAP'!$H$3:$H$501,'Plan prihoda za unos u SAP'!$C$3:$C$501,"=52",'Plan prihoda za unos u SAP'!$K$3:$K$501,"=636")</f>
        <v>0</v>
      </c>
      <c r="K55" s="202">
        <f>SUMIFS('Plan prihoda za unos u SAP'!$H$3:$H$501,'Plan prihoda za unos u SAP'!$C$3:$C$501,"=552",'Plan prihoda za unos u SAP'!$K$3:$K$501,"=636")</f>
        <v>0</v>
      </c>
      <c r="L55" s="202">
        <f>SUMIFS('Plan prihoda za unos u SAP'!$H$3:$H$501,'Plan prihoda za unos u SAP'!$C$3:$C$501,"=559",'Plan prihoda za unos u SAP'!$K$3:$K$501,"=636")</f>
        <v>0</v>
      </c>
      <c r="M55" s="202">
        <f>SUMIFS('Plan prihoda za unos u SAP'!$H$3:$H$501,'Plan prihoda za unos u SAP'!$C$3:$C$501,"=561",'Plan prihoda za unos u SAP'!$K$3:$K$501,"=636")</f>
        <v>0</v>
      </c>
      <c r="N55" s="202">
        <f>SUMIFS('Plan prihoda za unos u SAP'!$H$3:$H$501,'Plan prihoda za unos u SAP'!$C$3:$C$501,"=563",'Plan prihoda za unos u SAP'!$K$3:$K$501,"=636")</f>
        <v>0</v>
      </c>
      <c r="O55" s="202">
        <f>SUMIFS('Plan prihoda za unos u SAP'!$H$3:$H$501,'Plan prihoda za unos u SAP'!$C$3:$C$501,"=573",'Plan prihoda za unos u SAP'!$K$3:$K$501,"=636")</f>
        <v>0</v>
      </c>
      <c r="P55" s="202">
        <f>SUMIFS('Plan prihoda za unos u SAP'!$H$3:$H$501,'Plan prihoda za unos u SAP'!$C$3:$C$501,"=575",'Plan prihoda za unos u SAP'!$K$3:$K$501,"=636")</f>
        <v>0</v>
      </c>
      <c r="Q55" s="202">
        <f>SUMIFS('Plan prihoda za unos u SAP'!$H$3:$H$501,'Plan prihoda za unos u SAP'!$C$3:$C$501,"=61",'Plan prihoda za unos u SAP'!$K$3:$K$501,"=636")</f>
        <v>0</v>
      </c>
      <c r="R55" s="202">
        <f>SUMIFS('Plan prihoda za unos u SAP'!$H$3:$H$501,'Plan prihoda za unos u SAP'!$C$3:$C$501,"=63",'Plan prihoda za unos u SAP'!$K$3:$K$501,"=636")</f>
        <v>0</v>
      </c>
      <c r="S55" s="202">
        <f>SUMIFS('Plan prihoda za unos u SAP'!$H$3:$H$501,'Plan prihoda za unos u SAP'!$C$3:$C$501,"=71",'Plan prihoda za unos u SAP'!$K$3:$K$501,"=636")</f>
        <v>0</v>
      </c>
      <c r="T55" s="202">
        <f>SUMIFS('Plan prihoda za unos u SAP'!$H$3:$H$501,'Plan prihoda za unos u SAP'!$C$3:$C$501,"=81",'Plan prihoda za unos u SAP'!$K$3:$K$501,"=636")</f>
        <v>0</v>
      </c>
      <c r="U55" s="202">
        <f>SUMIFS('Plan prihoda za unos u SAP'!$H$3:$H$501,'Plan prihoda za unos u SAP'!$C$3:$C$501,"=83",'Plan prihoda za unos u SAP'!$K$3:$K$501,"=636")</f>
        <v>0</v>
      </c>
    </row>
    <row r="56" spans="1:27" s="91" customFormat="1">
      <c r="A56" s="96" t="s">
        <v>309</v>
      </c>
      <c r="B56" s="97" t="s">
        <v>310</v>
      </c>
      <c r="C56" s="71">
        <f t="shared" si="27"/>
        <v>0</v>
      </c>
      <c r="D56" s="202">
        <f>SUMIFS('Plan prihoda za unos u SAP'!$H$3:$H$501,'Plan prihoda za unos u SAP'!$C$3:$C$501,"=11",'Plan prihoda za unos u SAP'!$K$3:$K$501,"=638")</f>
        <v>0</v>
      </c>
      <c r="E56" s="202">
        <f>SUMIFS('Plan prihoda za unos u SAP'!$H$3:$H$501,'Plan prihoda za unos u SAP'!$C$3:$C$501,"=12",'Plan prihoda za unos u SAP'!$K$3:$K$501,"=638")</f>
        <v>0</v>
      </c>
      <c r="F56" s="202">
        <f>SUMIFS('Plan prihoda za unos u SAP'!$H$3:$H$501,'Plan prihoda za unos u SAP'!$C$3:$C$501,"=31",'Plan prihoda za unos u SAP'!$K$3:$K$501,"=638")</f>
        <v>0</v>
      </c>
      <c r="G56" s="202">
        <f>SUMIFS('Plan prihoda za unos u SAP'!$H$3:$H$501,'Plan prihoda za unos u SAP'!$C$3:$C$501,"=41",'Plan prihoda za unos u SAP'!$K$3:$K$501,"=638")</f>
        <v>0</v>
      </c>
      <c r="H56" s="202">
        <f>SUMIFS('Plan prihoda za unos u SAP'!$H$3:$H$501,'Plan prihoda za unos u SAP'!$C$3:$C$501,"=43",'Plan prihoda za unos u SAP'!$K$3:$K$501,"=638")</f>
        <v>0</v>
      </c>
      <c r="I56" s="202">
        <f>SUMIFS('Plan prihoda za unos u SAP'!$H$3:$H$501,'Plan prihoda za unos u SAP'!$C$3:$C$501,"=51",'Plan prihoda za unos u SAP'!$K$3:$K$501,"=638")</f>
        <v>0</v>
      </c>
      <c r="J56" s="202">
        <f>SUMIFS('Plan prihoda za unos u SAP'!$H$3:$H$501,'Plan prihoda za unos u SAP'!$C$3:$C$501,"=52",'Plan prihoda za unos u SAP'!$K$3:$K$501,"=638")</f>
        <v>0</v>
      </c>
      <c r="K56" s="202">
        <f>SUMIFS('Plan prihoda za unos u SAP'!$H$3:$H$501,'Plan prihoda za unos u SAP'!$C$3:$C$501,"=552",'Plan prihoda za unos u SAP'!$K$3:$K$501,"=638")</f>
        <v>0</v>
      </c>
      <c r="L56" s="202">
        <f>SUMIFS('Plan prihoda za unos u SAP'!$H$3:$H$501,'Plan prihoda za unos u SAP'!$C$3:$C$501,"=559",'Plan prihoda za unos u SAP'!$K$3:$K$501,"=638")</f>
        <v>0</v>
      </c>
      <c r="M56" s="202">
        <f>SUMIFS('Plan prihoda za unos u SAP'!$H$3:$H$501,'Plan prihoda za unos u SAP'!$C$3:$C$501,"=561",'Plan prihoda za unos u SAP'!$K$3:$K$501,"=638")</f>
        <v>0</v>
      </c>
      <c r="N56" s="202">
        <f>SUMIFS('Plan prihoda za unos u SAP'!$H$3:$H$501,'Plan prihoda za unos u SAP'!$C$3:$C$501,"=563",'Plan prihoda za unos u SAP'!$K$3:$K$501,"=638")</f>
        <v>0</v>
      </c>
      <c r="O56" s="202">
        <f>SUMIFS('Plan prihoda za unos u SAP'!$H$3:$H$501,'Plan prihoda za unos u SAP'!$C$3:$C$501,"=573",'Plan prihoda za unos u SAP'!$K$3:$K$501,"=638")</f>
        <v>0</v>
      </c>
      <c r="P56" s="202">
        <f>SUMIFS('Plan prihoda za unos u SAP'!$H$3:$H$501,'Plan prihoda za unos u SAP'!$C$3:$C$501,"=575",'Plan prihoda za unos u SAP'!$K$3:$K$501,"=638")</f>
        <v>0</v>
      </c>
      <c r="Q56" s="202">
        <f>SUMIFS('Plan prihoda za unos u SAP'!$H$3:$H$501,'Plan prihoda za unos u SAP'!$C$3:$C$501,"=61",'Plan prihoda za unos u SAP'!$K$3:$K$501,"=638")</f>
        <v>0</v>
      </c>
      <c r="R56" s="202">
        <f>SUMIFS('Plan prihoda za unos u SAP'!$H$3:$H$501,'Plan prihoda za unos u SAP'!$C$3:$C$501,"=63",'Plan prihoda za unos u SAP'!$K$3:$K$501,"=638")</f>
        <v>0</v>
      </c>
      <c r="S56" s="202">
        <f>SUMIFS('Plan prihoda za unos u SAP'!$H$3:$H$501,'Plan prihoda za unos u SAP'!$C$3:$C$501,"=71",'Plan prihoda za unos u SAP'!$K$3:$K$501,"=638")</f>
        <v>0</v>
      </c>
      <c r="T56" s="202">
        <f>SUMIFS('Plan prihoda za unos u SAP'!$H$3:$H$501,'Plan prihoda za unos u SAP'!$C$3:$C$501,"=81",'Plan prihoda za unos u SAP'!$K$3:$K$501,"=638")</f>
        <v>0</v>
      </c>
      <c r="U56" s="202">
        <f>SUMIFS('Plan prihoda za unos u SAP'!$H$3:$H$501,'Plan prihoda za unos u SAP'!$C$3:$C$501,"=83",'Plan prihoda za unos u SAP'!$K$3:$K$501,"=638")</f>
        <v>0</v>
      </c>
    </row>
    <row r="57" spans="1:27" s="91" customFormat="1">
      <c r="A57" s="96" t="s">
        <v>311</v>
      </c>
      <c r="B57" s="97" t="s">
        <v>53</v>
      </c>
      <c r="C57" s="71">
        <f t="shared" si="27"/>
        <v>20313</v>
      </c>
      <c r="D57" s="202">
        <f>SUMIFS('Plan prihoda za unos u SAP'!$H$3:$H$501,'Plan prihoda za unos u SAP'!$C$3:$C$501,"=11",'Plan prihoda za unos u SAP'!$K$3:$K$501,"=639")</f>
        <v>0</v>
      </c>
      <c r="E57" s="202">
        <f>SUMIFS('Plan prihoda za unos u SAP'!$H$3:$H$501,'Plan prihoda za unos u SAP'!$C$3:$C$501,"=12",'Plan prihoda za unos u SAP'!$K$3:$K$501,"=639")</f>
        <v>0</v>
      </c>
      <c r="F57" s="202">
        <f>SUMIFS('Plan prihoda za unos u SAP'!$H$3:$H$501,'Plan prihoda za unos u SAP'!$C$3:$C$501,"=31",'Plan prihoda za unos u SAP'!$K$3:$K$501,"=639")</f>
        <v>0</v>
      </c>
      <c r="G57" s="202">
        <f>SUMIFS('Plan prihoda za unos u SAP'!$H$3:$H$501,'Plan prihoda za unos u SAP'!$C$3:$C$501,"=41",'Plan prihoda za unos u SAP'!$K$3:$K$501,"=639")</f>
        <v>0</v>
      </c>
      <c r="H57" s="202">
        <f>SUMIFS('Plan prihoda za unos u SAP'!$H$3:$H$501,'Plan prihoda za unos u SAP'!$C$3:$C$501,"=43",'Plan prihoda za unos u SAP'!$K$3:$K$501,"=639")</f>
        <v>0</v>
      </c>
      <c r="I57" s="202">
        <f>SUMIFS('Plan prihoda za unos u SAP'!$H$3:$H$501,'Plan prihoda za unos u SAP'!$C$3:$C$501,"=51",'Plan prihoda za unos u SAP'!$K$3:$K$501,"=639")</f>
        <v>0</v>
      </c>
      <c r="J57" s="202">
        <f>SUMIFS('Plan prihoda za unos u SAP'!$H$3:$H$501,'Plan prihoda za unos u SAP'!$C$3:$C$501,"=52",'Plan prihoda za unos u SAP'!$K$3:$K$501,"=639")</f>
        <v>20313</v>
      </c>
      <c r="K57" s="202">
        <f>SUMIFS('Plan prihoda za unos u SAP'!$H$3:$H$501,'Plan prihoda za unos u SAP'!$C$3:$C$501,"=552",'Plan prihoda za unos u SAP'!$K$3:$K$501,"=639")</f>
        <v>0</v>
      </c>
      <c r="L57" s="202">
        <f>SUMIFS('Plan prihoda za unos u SAP'!$H$3:$H$501,'Plan prihoda za unos u SAP'!$C$3:$C$501,"=559",'Plan prihoda za unos u SAP'!$K$3:$K$501,"=639")</f>
        <v>0</v>
      </c>
      <c r="M57" s="202">
        <f>SUMIFS('Plan prihoda za unos u SAP'!$H$3:$H$501,'Plan prihoda za unos u SAP'!$C$3:$C$501,"=561",'Plan prihoda za unos u SAP'!$K$3:$K$501,"=639")</f>
        <v>0</v>
      </c>
      <c r="N57" s="202">
        <f>SUMIFS('Plan prihoda za unos u SAP'!$H$3:$H$501,'Plan prihoda za unos u SAP'!$C$3:$C$501,"=563",'Plan prihoda za unos u SAP'!$K$3:$K$501,"=639")</f>
        <v>0</v>
      </c>
      <c r="O57" s="202">
        <f>SUMIFS('Plan prihoda za unos u SAP'!$H$3:$H$501,'Plan prihoda za unos u SAP'!$C$3:$C$501,"=573",'Plan prihoda za unos u SAP'!$K$3:$K$501,"=639")</f>
        <v>0</v>
      </c>
      <c r="P57" s="202">
        <f>SUMIFS('Plan prihoda za unos u SAP'!$H$3:$H$501,'Plan prihoda za unos u SAP'!$C$3:$C$501,"=575",'Plan prihoda za unos u SAP'!$K$3:$K$501,"=639")</f>
        <v>0</v>
      </c>
      <c r="Q57" s="202">
        <f>SUMIFS('Plan prihoda za unos u SAP'!$H$3:$H$501,'Plan prihoda za unos u SAP'!$C$3:$C$501,"=61",'Plan prihoda za unos u SAP'!$K$3:$K$501,"=639")</f>
        <v>0</v>
      </c>
      <c r="R57" s="202">
        <f>SUMIFS('Plan prihoda za unos u SAP'!$H$3:$H$501,'Plan prihoda za unos u SAP'!$C$3:$C$501,"=63",'Plan prihoda za unos u SAP'!$K$3:$K$501,"=639")</f>
        <v>0</v>
      </c>
      <c r="S57" s="202">
        <f>SUMIFS('Plan prihoda za unos u SAP'!$H$3:$H$501,'Plan prihoda za unos u SAP'!$C$3:$C$501,"=71",'Plan prihoda za unos u SAP'!$K$3:$K$501,"=639")</f>
        <v>0</v>
      </c>
      <c r="T57" s="202">
        <f>SUMIFS('Plan prihoda za unos u SAP'!$H$3:$H$501,'Plan prihoda za unos u SAP'!$C$3:$C$501,"=81",'Plan prihoda za unos u SAP'!$K$3:$K$501,"=639")</f>
        <v>0</v>
      </c>
      <c r="U57" s="202">
        <f>SUMIFS('Plan prihoda za unos u SAP'!$H$3:$H$501,'Plan prihoda za unos u SAP'!$C$3:$C$501,"=83",'Plan prihoda za unos u SAP'!$K$3:$K$501,"=639")</f>
        <v>0</v>
      </c>
    </row>
    <row r="58" spans="1:27" s="91" customFormat="1">
      <c r="A58" s="96" t="s">
        <v>312</v>
      </c>
      <c r="B58" s="97" t="s">
        <v>313</v>
      </c>
      <c r="C58" s="71">
        <f t="shared" si="27"/>
        <v>0</v>
      </c>
      <c r="D58" s="202">
        <f>SUMIFS('Plan prihoda za unos u SAP'!$H$3:$H$501,'Plan prihoda za unos u SAP'!$C$3:$C$501,"=11",'Plan prihoda za unos u SAP'!$K$3:$K$501,"=641")</f>
        <v>0</v>
      </c>
      <c r="E58" s="202">
        <f>SUMIFS('Plan prihoda za unos u SAP'!$H$3:$H$501,'Plan prihoda za unos u SAP'!$C$3:$C$501,"=12",'Plan prihoda za unos u SAP'!$K$3:$K$501,"=641")</f>
        <v>0</v>
      </c>
      <c r="F58" s="202">
        <f>SUMIFS('Plan prihoda za unos u SAP'!$H$3:$H$501,'Plan prihoda za unos u SAP'!$C$3:$C$501,"=31",'Plan prihoda za unos u SAP'!$K$3:$K$501,"=641")</f>
        <v>0</v>
      </c>
      <c r="G58" s="202">
        <f>SUMIFS('Plan prihoda za unos u SAP'!$H$3:$H$501,'Plan prihoda za unos u SAP'!$C$3:$C$501,"=41",'Plan prihoda za unos u SAP'!$K$3:$K$501,"=641")</f>
        <v>0</v>
      </c>
      <c r="H58" s="202">
        <f>SUMIFS('Plan prihoda za unos u SAP'!$H$3:$H$501,'Plan prihoda za unos u SAP'!$C$3:$C$501,"=43",'Plan prihoda za unos u SAP'!$K$3:$K$501,"=641")</f>
        <v>0</v>
      </c>
      <c r="I58" s="202">
        <f>SUMIFS('Plan prihoda za unos u SAP'!$H$3:$H$501,'Plan prihoda za unos u SAP'!$C$3:$C$501,"=51",'Plan prihoda za unos u SAP'!$K$3:$K$501,"=641")</f>
        <v>0</v>
      </c>
      <c r="J58" s="202">
        <f>SUMIFS('Plan prihoda za unos u SAP'!$H$3:$H$501,'Plan prihoda za unos u SAP'!$C$3:$C$501,"=52",'Plan prihoda za unos u SAP'!$K$3:$K$501,"=641")</f>
        <v>0</v>
      </c>
      <c r="K58" s="202">
        <f>SUMIFS('Plan prihoda za unos u SAP'!$H$3:$H$501,'Plan prihoda za unos u SAP'!$C$3:$C$501,"=552",'Plan prihoda za unos u SAP'!$K$3:$K$501,"=641")</f>
        <v>0</v>
      </c>
      <c r="L58" s="202">
        <f>SUMIFS('Plan prihoda za unos u SAP'!$H$3:$H$501,'Plan prihoda za unos u SAP'!$C$3:$C$501,"=559",'Plan prihoda za unos u SAP'!$K$3:$K$501,"=641")</f>
        <v>0</v>
      </c>
      <c r="M58" s="202">
        <f>SUMIFS('Plan prihoda za unos u SAP'!$H$3:$H$501,'Plan prihoda za unos u SAP'!$C$3:$C$501,"=561",'Plan prihoda za unos u SAP'!$K$3:$K$501,"=641")</f>
        <v>0</v>
      </c>
      <c r="N58" s="202">
        <f>SUMIFS('Plan prihoda za unos u SAP'!$H$3:$H$501,'Plan prihoda za unos u SAP'!$C$3:$C$501,"=563",'Plan prihoda za unos u SAP'!$K$3:$K$501,"=641")</f>
        <v>0</v>
      </c>
      <c r="O58" s="202">
        <f>SUMIFS('Plan prihoda za unos u SAP'!$H$3:$H$501,'Plan prihoda za unos u SAP'!$C$3:$C$501,"=573",'Plan prihoda za unos u SAP'!$K$3:$K$501,"=641")</f>
        <v>0</v>
      </c>
      <c r="P58" s="202">
        <f>SUMIFS('Plan prihoda za unos u SAP'!$H$3:$H$501,'Plan prihoda za unos u SAP'!$C$3:$C$501,"=575",'Plan prihoda za unos u SAP'!$K$3:$K$501,"=641")</f>
        <v>0</v>
      </c>
      <c r="Q58" s="202">
        <f>SUMIFS('Plan prihoda za unos u SAP'!$H$3:$H$501,'Plan prihoda za unos u SAP'!$C$3:$C$501,"=61",'Plan prihoda za unos u SAP'!$K$3:$K$501,"=641")</f>
        <v>0</v>
      </c>
      <c r="R58" s="202">
        <f>SUMIFS('Plan prihoda za unos u SAP'!$H$3:$H$501,'Plan prihoda za unos u SAP'!$C$3:$C$501,"=63",'Plan prihoda za unos u SAP'!$K$3:$K$501,"=641")</f>
        <v>0</v>
      </c>
      <c r="S58" s="202">
        <f>SUMIFS('Plan prihoda za unos u SAP'!$H$3:$H$501,'Plan prihoda za unos u SAP'!$C$3:$C$501,"=71",'Plan prihoda za unos u SAP'!$K$3:$K$501,"=641")</f>
        <v>0</v>
      </c>
      <c r="T58" s="202">
        <f>SUMIFS('Plan prihoda za unos u SAP'!$H$3:$H$501,'Plan prihoda za unos u SAP'!$C$3:$C$501,"=81",'Plan prihoda za unos u SAP'!$K$3:$K$501,"=641")</f>
        <v>0</v>
      </c>
      <c r="U58" s="202">
        <f>SUMIFS('Plan prihoda za unos u SAP'!$H$3:$H$501,'Plan prihoda za unos u SAP'!$C$3:$C$501,"=83",'Plan prihoda za unos u SAP'!$K$3:$K$501,"=641")</f>
        <v>0</v>
      </c>
    </row>
    <row r="59" spans="1:27" s="91" customFormat="1">
      <c r="A59" s="96" t="s">
        <v>314</v>
      </c>
      <c r="B59" s="97" t="s">
        <v>315</v>
      </c>
      <c r="C59" s="71">
        <f t="shared" si="27"/>
        <v>0</v>
      </c>
      <c r="D59" s="202">
        <f>SUMIFS('Plan prihoda za unos u SAP'!$H$3:$H$501,'Plan prihoda za unos u SAP'!$C$3:$C$501,"=11",'Plan prihoda za unos u SAP'!$K$3:$K$501,"=642")</f>
        <v>0</v>
      </c>
      <c r="E59" s="202">
        <f>SUMIFS('Plan prihoda za unos u SAP'!$H$3:$H$501,'Plan prihoda za unos u SAP'!$C$3:$C$501,"=12",'Plan prihoda za unos u SAP'!$K$3:$K$501,"=642")</f>
        <v>0</v>
      </c>
      <c r="F59" s="202">
        <f>SUMIFS('Plan prihoda za unos u SAP'!$H$3:$H$501,'Plan prihoda za unos u SAP'!$C$3:$C$501,"=31",'Plan prihoda za unos u SAP'!$K$3:$K$501,"=642")</f>
        <v>0</v>
      </c>
      <c r="G59" s="202">
        <f>SUMIFS('Plan prihoda za unos u SAP'!$H$3:$H$501,'Plan prihoda za unos u SAP'!$C$3:$C$501,"=41",'Plan prihoda za unos u SAP'!$K$3:$K$501,"=642")</f>
        <v>0</v>
      </c>
      <c r="H59" s="202">
        <f>SUMIFS('Plan prihoda za unos u SAP'!$H$3:$H$501,'Plan prihoda za unos u SAP'!$C$3:$C$501,"=43",'Plan prihoda za unos u SAP'!$K$3:$K$501,"=642")</f>
        <v>0</v>
      </c>
      <c r="I59" s="202">
        <f>SUMIFS('Plan prihoda za unos u SAP'!$H$3:$H$501,'Plan prihoda za unos u SAP'!$C$3:$C$501,"=51",'Plan prihoda za unos u SAP'!$K$3:$K$501,"=642")</f>
        <v>0</v>
      </c>
      <c r="J59" s="202">
        <f>SUMIFS('Plan prihoda za unos u SAP'!$H$3:$H$501,'Plan prihoda za unos u SAP'!$C$3:$C$501,"=52",'Plan prihoda za unos u SAP'!$K$3:$K$501,"=642")</f>
        <v>0</v>
      </c>
      <c r="K59" s="202">
        <f>SUMIFS('Plan prihoda za unos u SAP'!$H$3:$H$501,'Plan prihoda za unos u SAP'!$C$3:$C$501,"=552",'Plan prihoda za unos u SAP'!$K$3:$K$501,"=642")</f>
        <v>0</v>
      </c>
      <c r="L59" s="202">
        <f>SUMIFS('Plan prihoda za unos u SAP'!$H$3:$H$501,'Plan prihoda za unos u SAP'!$C$3:$C$501,"=559",'Plan prihoda za unos u SAP'!$K$3:$K$501,"=642")</f>
        <v>0</v>
      </c>
      <c r="M59" s="202">
        <f>SUMIFS('Plan prihoda za unos u SAP'!$H$3:$H$501,'Plan prihoda za unos u SAP'!$C$3:$C$501,"=561",'Plan prihoda za unos u SAP'!$K$3:$K$501,"=642")</f>
        <v>0</v>
      </c>
      <c r="N59" s="202">
        <f>SUMIFS('Plan prihoda za unos u SAP'!$H$3:$H$501,'Plan prihoda za unos u SAP'!$C$3:$C$501,"=563",'Plan prihoda za unos u SAP'!$K$3:$K$501,"=642")</f>
        <v>0</v>
      </c>
      <c r="O59" s="202">
        <f>SUMIFS('Plan prihoda za unos u SAP'!$H$3:$H$501,'Plan prihoda za unos u SAP'!$C$3:$C$501,"=573",'Plan prihoda za unos u SAP'!$K$3:$K$501,"=642")</f>
        <v>0</v>
      </c>
      <c r="P59" s="202">
        <f>SUMIFS('Plan prihoda za unos u SAP'!$H$3:$H$501,'Plan prihoda za unos u SAP'!$C$3:$C$501,"=575",'Plan prihoda za unos u SAP'!$K$3:$K$501,"=642")</f>
        <v>0</v>
      </c>
      <c r="Q59" s="202">
        <f>SUMIFS('Plan prihoda za unos u SAP'!$H$3:$H$501,'Plan prihoda za unos u SAP'!$C$3:$C$501,"=61",'Plan prihoda za unos u SAP'!$K$3:$K$501,"=642")</f>
        <v>0</v>
      </c>
      <c r="R59" s="202">
        <f>SUMIFS('Plan prihoda za unos u SAP'!$H$3:$H$501,'Plan prihoda za unos u SAP'!$C$3:$C$501,"=63",'Plan prihoda za unos u SAP'!$K$3:$K$501,"=642")</f>
        <v>0</v>
      </c>
      <c r="S59" s="202">
        <f>SUMIFS('Plan prihoda za unos u SAP'!$H$3:$H$501,'Plan prihoda za unos u SAP'!$C$3:$C$501,"=71",'Plan prihoda za unos u SAP'!$K$3:$K$501,"=642")</f>
        <v>0</v>
      </c>
      <c r="T59" s="202">
        <f>SUMIFS('Plan prihoda za unos u SAP'!$H$3:$H$501,'Plan prihoda za unos u SAP'!$C$3:$C$501,"=81",'Plan prihoda za unos u SAP'!$K$3:$K$501,"=642")</f>
        <v>0</v>
      </c>
      <c r="U59" s="202">
        <f>SUMIFS('Plan prihoda za unos u SAP'!$H$3:$H$501,'Plan prihoda za unos u SAP'!$C$3:$C$501,"=83",'Plan prihoda za unos u SAP'!$K$3:$K$501,"=642")</f>
        <v>0</v>
      </c>
    </row>
    <row r="60" spans="1:27" s="91" customFormat="1">
      <c r="A60" s="247" t="s">
        <v>818</v>
      </c>
      <c r="B60" s="97" t="s">
        <v>817</v>
      </c>
      <c r="C60" s="71">
        <f t="shared" si="27"/>
        <v>0</v>
      </c>
      <c r="D60" s="202">
        <f>SUMIFS('Plan prihoda za unos u SAP'!$H$3:$H$501,'Plan prihoda za unos u SAP'!$C$3:$C$501,"=11",'Plan prihoda za unos u SAP'!$K$3:$K$501,"=651")</f>
        <v>0</v>
      </c>
      <c r="E60" s="202">
        <f>SUMIFS('Plan prihoda za unos u SAP'!$H$3:$H$501,'Plan prihoda za unos u SAP'!$C$3:$C$501,"=12",'Plan prihoda za unos u SAP'!$K$3:$K$501,"=651")</f>
        <v>0</v>
      </c>
      <c r="F60" s="202">
        <f>SUMIFS('Plan prihoda za unos u SAP'!$H$3:$H$501,'Plan prihoda za unos u SAP'!$C$3:$C$501,"=31",'Plan prihoda za unos u SAP'!$K$3:$K$501,"=651")</f>
        <v>0</v>
      </c>
      <c r="G60" s="202">
        <f>SUMIFS('Plan prihoda za unos u SAP'!$H$3:$H$501,'Plan prihoda za unos u SAP'!$C$3:$C$501,"=41",'Plan prihoda za unos u SAP'!$K$3:$K$501,"=651")</f>
        <v>0</v>
      </c>
      <c r="H60" s="202">
        <f>SUMIFS('Plan prihoda za unos u SAP'!$H$3:$H$501,'Plan prihoda za unos u SAP'!$C$3:$C$501,"=43",'Plan prihoda za unos u SAP'!$K$3:$K$501,"=651")</f>
        <v>0</v>
      </c>
      <c r="I60" s="202">
        <f>SUMIFS('Plan prihoda za unos u SAP'!$H$3:$H$501,'Plan prihoda za unos u SAP'!$C$3:$C$501,"=51",'Plan prihoda za unos u SAP'!$K$3:$K$501,"=651")</f>
        <v>0</v>
      </c>
      <c r="J60" s="202">
        <f>SUMIFS('Plan prihoda za unos u SAP'!$H$3:$H$501,'Plan prihoda za unos u SAP'!$C$3:$C$501,"=52",'Plan prihoda za unos u SAP'!$K$3:$K$501,"=651")</f>
        <v>0</v>
      </c>
      <c r="K60" s="202">
        <f>SUMIFS('Plan prihoda za unos u SAP'!$H$3:$H$501,'Plan prihoda za unos u SAP'!$C$3:$C$501,"=552",'Plan prihoda za unos u SAP'!$K$3:$K$501,"=651")</f>
        <v>0</v>
      </c>
      <c r="L60" s="202">
        <f>SUMIFS('Plan prihoda za unos u SAP'!$H$3:$H$501,'Plan prihoda za unos u SAP'!$C$3:$C$501,"=559",'Plan prihoda za unos u SAP'!$K$3:$K$501,"=651")</f>
        <v>0</v>
      </c>
      <c r="M60" s="202">
        <f>SUMIFS('Plan prihoda za unos u SAP'!$H$3:$H$501,'Plan prihoda za unos u SAP'!$C$3:$C$501,"=561",'Plan prihoda za unos u SAP'!$K$3:$K$501,"=651")</f>
        <v>0</v>
      </c>
      <c r="N60" s="202">
        <f>SUMIFS('Plan prihoda za unos u SAP'!$H$3:$H$501,'Plan prihoda za unos u SAP'!$C$3:$C$501,"=563",'Plan prihoda za unos u SAP'!$K$3:$K$501,"=651")</f>
        <v>0</v>
      </c>
      <c r="O60" s="202">
        <f>SUMIFS('Plan prihoda za unos u SAP'!$H$3:$H$501,'Plan prihoda za unos u SAP'!$C$3:$C$501,"=573",'Plan prihoda za unos u SAP'!$K$3:$K$501,"=651")</f>
        <v>0</v>
      </c>
      <c r="P60" s="202">
        <f>SUMIFS('Plan prihoda za unos u SAP'!$H$3:$H$501,'Plan prihoda za unos u SAP'!$C$3:$C$501,"=575",'Plan prihoda za unos u SAP'!$K$3:$K$501,"=651")</f>
        <v>0</v>
      </c>
      <c r="Q60" s="202">
        <f>SUMIFS('Plan prihoda za unos u SAP'!$H$3:$H$501,'Plan prihoda za unos u SAP'!$C$3:$C$501,"=61",'Plan prihoda za unos u SAP'!$K$3:$K$501,"=651")</f>
        <v>0</v>
      </c>
      <c r="R60" s="202">
        <f>SUMIFS('Plan prihoda za unos u SAP'!$H$3:$H$501,'Plan prihoda za unos u SAP'!$C$3:$C$501,"=63",'Plan prihoda za unos u SAP'!$K$3:$K$501,"=651")</f>
        <v>0</v>
      </c>
      <c r="S60" s="202">
        <f>SUMIFS('Plan prihoda za unos u SAP'!$H$3:$H$501,'Plan prihoda za unos u SAP'!$C$3:$C$501,"=71",'Plan prihoda za unos u SAP'!$K$3:$K$501,"=651")</f>
        <v>0</v>
      </c>
      <c r="T60" s="202">
        <f>SUMIFS('Plan prihoda za unos u SAP'!$H$3:$H$501,'Plan prihoda za unos u SAP'!$C$3:$C$501,"=81",'Plan prihoda za unos u SAP'!$K$3:$K$501,"=651")</f>
        <v>0</v>
      </c>
      <c r="U60" s="202">
        <f>SUMIFS('Plan prihoda za unos u SAP'!$H$3:$H$501,'Plan prihoda za unos u SAP'!$C$3:$C$501,"=83",'Plan prihoda za unos u SAP'!$K$3:$K$501,"=651")</f>
        <v>0</v>
      </c>
    </row>
    <row r="61" spans="1:27" s="91" customFormat="1">
      <c r="A61" s="96" t="s">
        <v>316</v>
      </c>
      <c r="B61" s="97" t="s">
        <v>317</v>
      </c>
      <c r="C61" s="71">
        <f t="shared" si="27"/>
        <v>1170000</v>
      </c>
      <c r="D61" s="202">
        <f>SUMIFS('Plan prihoda za unos u SAP'!$H$3:$H$501,'Plan prihoda za unos u SAP'!$C$3:$C$501,"=11",'Plan prihoda za unos u SAP'!$K$3:$K$501,"=652")</f>
        <v>0</v>
      </c>
      <c r="E61" s="202">
        <f>SUMIFS('Plan prihoda za unos u SAP'!$H$3:$H$501,'Plan prihoda za unos u SAP'!$C$3:$C$501,"=12",'Plan prihoda za unos u SAP'!$K$3:$K$501,"=652")</f>
        <v>0</v>
      </c>
      <c r="F61" s="202">
        <f>SUMIFS('Plan prihoda za unos u SAP'!$H$3:$H$501,'Plan prihoda za unos u SAP'!$C$3:$C$501,"=31",'Plan prihoda za unos u SAP'!$K$3:$K$501,"=652")</f>
        <v>0</v>
      </c>
      <c r="G61" s="202">
        <f>SUMIFS('Plan prihoda za unos u SAP'!$H$3:$H$501,'Plan prihoda za unos u SAP'!$C$3:$C$501,"=41",'Plan prihoda za unos u SAP'!$K$3:$K$501,"=652")</f>
        <v>0</v>
      </c>
      <c r="H61" s="202">
        <f>SUMIFS('Plan prihoda za unos u SAP'!$H$3:$H$501,'Plan prihoda za unos u SAP'!$C$3:$C$501,"=43",'Plan prihoda za unos u SAP'!$K$3:$K$501,"=652")</f>
        <v>1170000</v>
      </c>
      <c r="I61" s="202">
        <f>SUMIFS('Plan prihoda za unos u SAP'!$H$3:$H$501,'Plan prihoda za unos u SAP'!$C$3:$C$501,"=51",'Plan prihoda za unos u SAP'!$K$3:$K$501,"=652")</f>
        <v>0</v>
      </c>
      <c r="J61" s="202">
        <f>SUMIFS('Plan prihoda za unos u SAP'!$H$3:$H$501,'Plan prihoda za unos u SAP'!$C$3:$C$501,"=52",'Plan prihoda za unos u SAP'!$K$3:$K$501,"=652")</f>
        <v>0</v>
      </c>
      <c r="K61" s="202">
        <f>SUMIFS('Plan prihoda za unos u SAP'!$H$3:$H$501,'Plan prihoda za unos u SAP'!$C$3:$C$501,"=552",'Plan prihoda za unos u SAP'!$K$3:$K$501,"=652")</f>
        <v>0</v>
      </c>
      <c r="L61" s="202">
        <f>SUMIFS('Plan prihoda za unos u SAP'!$H$3:$H$501,'Plan prihoda za unos u SAP'!$C$3:$C$501,"=559",'Plan prihoda za unos u SAP'!$K$3:$K$501,"=652")</f>
        <v>0</v>
      </c>
      <c r="M61" s="202">
        <f>SUMIFS('Plan prihoda za unos u SAP'!$H$3:$H$501,'Plan prihoda za unos u SAP'!$C$3:$C$501,"=561",'Plan prihoda za unos u SAP'!$K$3:$K$501,"=652")</f>
        <v>0</v>
      </c>
      <c r="N61" s="202">
        <f>SUMIFS('Plan prihoda za unos u SAP'!$H$3:$H$501,'Plan prihoda za unos u SAP'!$C$3:$C$501,"=563",'Plan prihoda za unos u SAP'!$K$3:$K$501,"=652")</f>
        <v>0</v>
      </c>
      <c r="O61" s="202">
        <f>SUMIFS('Plan prihoda za unos u SAP'!$H$3:$H$501,'Plan prihoda za unos u SAP'!$C$3:$C$501,"=573",'Plan prihoda za unos u SAP'!$K$3:$K$501,"=652")</f>
        <v>0</v>
      </c>
      <c r="P61" s="202">
        <f>SUMIFS('Plan prihoda za unos u SAP'!$H$3:$H$501,'Plan prihoda za unos u SAP'!$C$3:$C$501,"=575",'Plan prihoda za unos u SAP'!$K$3:$K$501,"=652")</f>
        <v>0</v>
      </c>
      <c r="Q61" s="202">
        <f>SUMIFS('Plan prihoda za unos u SAP'!$H$3:$H$501,'Plan prihoda za unos u SAP'!$C$3:$C$501,"=61",'Plan prihoda za unos u SAP'!$K$3:$K$501,"=652")</f>
        <v>0</v>
      </c>
      <c r="R61" s="202">
        <f>SUMIFS('Plan prihoda za unos u SAP'!$H$3:$H$501,'Plan prihoda za unos u SAP'!$C$3:$C$501,"=63",'Plan prihoda za unos u SAP'!$K$3:$K$501,"=652")</f>
        <v>0</v>
      </c>
      <c r="S61" s="202">
        <f>SUMIFS('Plan prihoda za unos u SAP'!$H$3:$H$501,'Plan prihoda za unos u SAP'!$C$3:$C$501,"=71",'Plan prihoda za unos u SAP'!$K$3:$K$501,"=652")</f>
        <v>0</v>
      </c>
      <c r="T61" s="202">
        <f>SUMIFS('Plan prihoda za unos u SAP'!$H$3:$H$501,'Plan prihoda za unos u SAP'!$C$3:$C$501,"=81",'Plan prihoda za unos u SAP'!$K$3:$K$501,"=652")</f>
        <v>0</v>
      </c>
      <c r="U61" s="202">
        <f>SUMIFS('Plan prihoda za unos u SAP'!$H$3:$H$501,'Plan prihoda za unos u SAP'!$C$3:$C$501,"=83",'Plan prihoda za unos u SAP'!$K$3:$K$501,"=652")</f>
        <v>0</v>
      </c>
    </row>
    <row r="62" spans="1:27" s="91" customFormat="1">
      <c r="A62" s="96" t="s">
        <v>318</v>
      </c>
      <c r="B62" s="97" t="s">
        <v>319</v>
      </c>
      <c r="C62" s="71">
        <f t="shared" si="27"/>
        <v>3073000</v>
      </c>
      <c r="D62" s="202">
        <f>SUMIFS('Plan prihoda za unos u SAP'!$H$3:$H$501,'Plan prihoda za unos u SAP'!$C$3:$C$501,"=11",'Plan prihoda za unos u SAP'!$K$3:$K$501,"=661")</f>
        <v>0</v>
      </c>
      <c r="E62" s="202">
        <f>SUMIFS('Plan prihoda za unos u SAP'!$H$3:$H$501,'Plan prihoda za unos u SAP'!$C$3:$C$501,"=12",'Plan prihoda za unos u SAP'!$K$3:$K$501,"=661")</f>
        <v>0</v>
      </c>
      <c r="F62" s="202">
        <f>SUMIFS('Plan prihoda za unos u SAP'!$H$3:$H$501,'Plan prihoda za unos u SAP'!$C$3:$C$501,"=31",'Plan prihoda za unos u SAP'!$K$3:$K$501,"=661")</f>
        <v>3073000</v>
      </c>
      <c r="G62" s="202">
        <f>SUMIFS('Plan prihoda za unos u SAP'!$H$3:$H$501,'Plan prihoda za unos u SAP'!$C$3:$C$501,"=41",'Plan prihoda za unos u SAP'!$K$3:$K$501,"=661")</f>
        <v>0</v>
      </c>
      <c r="H62" s="202">
        <f>SUMIFS('Plan prihoda za unos u SAP'!$H$3:$H$501,'Plan prihoda za unos u SAP'!$C$3:$C$501,"=43",'Plan prihoda za unos u SAP'!$K$3:$K$501,"=661")</f>
        <v>0</v>
      </c>
      <c r="I62" s="202">
        <f>SUMIFS('Plan prihoda za unos u SAP'!$H$3:$H$501,'Plan prihoda za unos u SAP'!$C$3:$C$501,"=51",'Plan prihoda za unos u SAP'!$K$3:$K$501,"=661")</f>
        <v>0</v>
      </c>
      <c r="J62" s="202">
        <f>SUMIFS('Plan prihoda za unos u SAP'!$H$3:$H$501,'Plan prihoda za unos u SAP'!$C$3:$C$501,"=52",'Plan prihoda za unos u SAP'!$K$3:$K$501,"=661")</f>
        <v>0</v>
      </c>
      <c r="K62" s="202">
        <f>SUMIFS('Plan prihoda za unos u SAP'!$H$3:$H$501,'Plan prihoda za unos u SAP'!$C$3:$C$501,"=552",'Plan prihoda za unos u SAP'!$K$3:$K$501,"=661")</f>
        <v>0</v>
      </c>
      <c r="L62" s="202">
        <f>SUMIFS('Plan prihoda za unos u SAP'!$H$3:$H$501,'Plan prihoda za unos u SAP'!$C$3:$C$501,"=559",'Plan prihoda za unos u SAP'!$K$3:$K$501,"=661")</f>
        <v>0</v>
      </c>
      <c r="M62" s="202">
        <f>SUMIFS('Plan prihoda za unos u SAP'!$H$3:$H$501,'Plan prihoda za unos u SAP'!$C$3:$C$501,"=561",'Plan prihoda za unos u SAP'!$K$3:$K$501,"=661")</f>
        <v>0</v>
      </c>
      <c r="N62" s="202">
        <f>SUMIFS('Plan prihoda za unos u SAP'!$H$3:$H$501,'Plan prihoda za unos u SAP'!$C$3:$C$501,"=563",'Plan prihoda za unos u SAP'!$K$3:$K$501,"=661")</f>
        <v>0</v>
      </c>
      <c r="O62" s="202">
        <f>SUMIFS('Plan prihoda za unos u SAP'!$H$3:$H$501,'Plan prihoda za unos u SAP'!$C$3:$C$501,"=573",'Plan prihoda za unos u SAP'!$K$3:$K$501,"=661")</f>
        <v>0</v>
      </c>
      <c r="P62" s="202">
        <f>SUMIFS('Plan prihoda za unos u SAP'!$H$3:$H$501,'Plan prihoda za unos u SAP'!$C$3:$C$501,"=575",'Plan prihoda za unos u SAP'!$K$3:$K$501,"=661")</f>
        <v>0</v>
      </c>
      <c r="Q62" s="202">
        <f>SUMIFS('Plan prihoda za unos u SAP'!$H$3:$H$501,'Plan prihoda za unos u SAP'!$C$3:$C$501,"=61",'Plan prihoda za unos u SAP'!$K$3:$K$501,"=661")</f>
        <v>0</v>
      </c>
      <c r="R62" s="202">
        <f>SUMIFS('Plan prihoda za unos u SAP'!$H$3:$H$501,'Plan prihoda za unos u SAP'!$C$3:$C$501,"=63",'Plan prihoda za unos u SAP'!$K$3:$K$501,"=661")</f>
        <v>0</v>
      </c>
      <c r="S62" s="202">
        <f>SUMIFS('Plan prihoda za unos u SAP'!$H$3:$H$501,'Plan prihoda za unos u SAP'!$C$3:$C$501,"=71",'Plan prihoda za unos u SAP'!$K$3:$K$501,"=661")</f>
        <v>0</v>
      </c>
      <c r="T62" s="202">
        <f>SUMIFS('Plan prihoda za unos u SAP'!$H$3:$H$501,'Plan prihoda za unos u SAP'!$C$3:$C$501,"=81",'Plan prihoda za unos u SAP'!$K$3:$K$501,"=661")</f>
        <v>0</v>
      </c>
      <c r="U62" s="202">
        <f>SUMIFS('Plan prihoda za unos u SAP'!$H$3:$H$501,'Plan prihoda za unos u SAP'!$C$3:$C$501,"=83",'Plan prihoda za unos u SAP'!$K$3:$K$501,"=661")</f>
        <v>0</v>
      </c>
    </row>
    <row r="63" spans="1:27" s="91" customFormat="1">
      <c r="A63" s="96" t="s">
        <v>320</v>
      </c>
      <c r="B63" s="97" t="s">
        <v>321</v>
      </c>
      <c r="C63" s="71">
        <f t="shared" si="27"/>
        <v>5000000</v>
      </c>
      <c r="D63" s="202">
        <f>SUMIFS('Plan prihoda za unos u SAP'!$H$3:$H$501,'Plan prihoda za unos u SAP'!$C$3:$C$501,"=11",'Plan prihoda za unos u SAP'!$K$3:$K$501,"=663")</f>
        <v>0</v>
      </c>
      <c r="E63" s="202">
        <f>SUMIFS('Plan prihoda za unos u SAP'!$H$3:$H$501,'Plan prihoda za unos u SAP'!$C$3:$C$501,"=12",'Plan prihoda za unos u SAP'!$K$3:$K$501,"=663")</f>
        <v>0</v>
      </c>
      <c r="F63" s="202">
        <f>SUMIFS('Plan prihoda za unos u SAP'!$H$3:$H$501,'Plan prihoda za unos u SAP'!$C$3:$C$501,"=31",'Plan prihoda za unos u SAP'!$K$3:$K$501,"=663")</f>
        <v>0</v>
      </c>
      <c r="G63" s="202">
        <f>SUMIFS('Plan prihoda za unos u SAP'!$H$3:$H$501,'Plan prihoda za unos u SAP'!$C$3:$C$501,"=41",'Plan prihoda za unos u SAP'!$K$3:$K$501,"=663")</f>
        <v>0</v>
      </c>
      <c r="H63" s="202">
        <f>SUMIFS('Plan prihoda za unos u SAP'!$H$3:$H$501,'Plan prihoda za unos u SAP'!$C$3:$C$501,"=43",'Plan prihoda za unos u SAP'!$K$3:$K$501,"=663")</f>
        <v>0</v>
      </c>
      <c r="I63" s="202">
        <f>SUMIFS('Plan prihoda za unos u SAP'!$H$3:$H$501,'Plan prihoda za unos u SAP'!$C$3:$C$501,"=51",'Plan prihoda za unos u SAP'!$K$3:$K$501,"=663")</f>
        <v>0</v>
      </c>
      <c r="J63" s="202">
        <f>SUMIFS('Plan prihoda za unos u SAP'!$H$3:$H$501,'Plan prihoda za unos u SAP'!$C$3:$C$501,"=52",'Plan prihoda za unos u SAP'!$K$3:$K$501,"=663")</f>
        <v>0</v>
      </c>
      <c r="K63" s="202">
        <f>SUMIFS('Plan prihoda za unos u SAP'!$H$3:$H$501,'Plan prihoda za unos u SAP'!$C$3:$C$501,"=552",'Plan prihoda za unos u SAP'!$K$3:$K$501,"=663")</f>
        <v>0</v>
      </c>
      <c r="L63" s="202">
        <f>SUMIFS('Plan prihoda za unos u SAP'!$H$3:$H$501,'Plan prihoda za unos u SAP'!$C$3:$C$501,"=559",'Plan prihoda za unos u SAP'!$K$3:$K$501,"=663")</f>
        <v>0</v>
      </c>
      <c r="M63" s="202">
        <f>SUMIFS('Plan prihoda za unos u SAP'!$H$3:$H$501,'Plan prihoda za unos u SAP'!$C$3:$C$501,"=561",'Plan prihoda za unos u SAP'!$K$3:$K$501,"=663")</f>
        <v>0</v>
      </c>
      <c r="N63" s="202">
        <f>SUMIFS('Plan prihoda za unos u SAP'!$H$3:$H$501,'Plan prihoda za unos u SAP'!$C$3:$C$501,"=563",'Plan prihoda za unos u SAP'!$K$3:$K$501,"=663")</f>
        <v>0</v>
      </c>
      <c r="O63" s="202">
        <f>SUMIFS('Plan prihoda za unos u SAP'!$H$3:$H$501,'Plan prihoda za unos u SAP'!$C$3:$C$501,"=573",'Plan prihoda za unos u SAP'!$K$3:$K$501,"=663")</f>
        <v>0</v>
      </c>
      <c r="P63" s="202">
        <f>SUMIFS('Plan prihoda za unos u SAP'!$H$3:$H$501,'Plan prihoda za unos u SAP'!$C$3:$C$501,"=575",'Plan prihoda za unos u SAP'!$K$3:$K$501,"=663")</f>
        <v>0</v>
      </c>
      <c r="Q63" s="202">
        <f>SUMIFS('Plan prihoda za unos u SAP'!$H$3:$H$501,'Plan prihoda za unos u SAP'!$C$3:$C$501,"=61",'Plan prihoda za unos u SAP'!$K$3:$K$501,"=663")</f>
        <v>5000000</v>
      </c>
      <c r="R63" s="202">
        <f>SUMIFS('Plan prihoda za unos u SAP'!$H$3:$H$501,'Plan prihoda za unos u SAP'!$C$3:$C$501,"=63",'Plan prihoda za unos u SAP'!$K$3:$K$501,"=663")</f>
        <v>0</v>
      </c>
      <c r="S63" s="202">
        <f>SUMIFS('Plan prihoda za unos u SAP'!$H$3:$H$501,'Plan prihoda za unos u SAP'!$C$3:$C$501,"=71",'Plan prihoda za unos u SAP'!$K$3:$K$501,"=663")</f>
        <v>0</v>
      </c>
      <c r="T63" s="202">
        <f>SUMIFS('Plan prihoda za unos u SAP'!$H$3:$H$501,'Plan prihoda za unos u SAP'!$C$3:$C$501,"=81",'Plan prihoda za unos u SAP'!$K$3:$K$501,"=663")</f>
        <v>0</v>
      </c>
      <c r="U63" s="202">
        <f>SUMIFS('Plan prihoda za unos u SAP'!$H$3:$H$501,'Plan prihoda za unos u SAP'!$C$3:$C$501,"=83",'Plan prihoda za unos u SAP'!$K$3:$K$501,"=663")</f>
        <v>0</v>
      </c>
    </row>
    <row r="64" spans="1:27" s="91" customFormat="1" ht="25.5">
      <c r="A64" s="96" t="s">
        <v>322</v>
      </c>
      <c r="B64" s="97" t="s">
        <v>282</v>
      </c>
      <c r="C64" s="71">
        <f t="shared" si="27"/>
        <v>69474570</v>
      </c>
      <c r="D64" s="202">
        <f>SUMIFS('Plan prihoda za unos u SAP'!$H$3:$H$501,'Plan prihoda za unos u SAP'!$C$3:$C$501,"=11",'Plan prihoda za unos u SAP'!$K$3:$K$501,"=671")</f>
        <v>64475723</v>
      </c>
      <c r="E64" s="202">
        <f>SUMIFS('Plan prihoda za unos u SAP'!$H$3:$H$501,'Plan prihoda za unos u SAP'!$C$3:$C$501,"=12",'Plan prihoda za unos u SAP'!$K$3:$K$501,"=671")</f>
        <v>4998847</v>
      </c>
      <c r="F64" s="202">
        <f>SUMIFS('Plan prihoda za unos u SAP'!$H$3:$H$501,'Plan prihoda za unos u SAP'!$C$3:$C$501,"=31",'Plan prihoda za unos u SAP'!$K$3:$K$501,"=671")</f>
        <v>0</v>
      </c>
      <c r="G64" s="202">
        <f>SUMIFS('Plan prihoda za unos u SAP'!$H$3:$H$501,'Plan prihoda za unos u SAP'!$C$3:$C$501,"=41",'Plan prihoda za unos u SAP'!$K$3:$K$501,"=671")</f>
        <v>0</v>
      </c>
      <c r="H64" s="202">
        <f>SUMIFS('Plan prihoda za unos u SAP'!$H$3:$H$501,'Plan prihoda za unos u SAP'!$C$3:$C$501,"=43",'Plan prihoda za unos u SAP'!$K$3:$K$501,"=671")</f>
        <v>0</v>
      </c>
      <c r="I64" s="202">
        <f>SUMIFS('Plan prihoda za unos u SAP'!$H$3:$H$501,'Plan prihoda za unos u SAP'!$C$3:$C$501,"=51",'Plan prihoda za unos u SAP'!$K$3:$K$501,"=671")</f>
        <v>0</v>
      </c>
      <c r="J64" s="202">
        <f>SUMIFS('Plan prihoda za unos u SAP'!$H$3:$H$501,'Plan prihoda za unos u SAP'!$C$3:$C$501,"=52",'Plan prihoda za unos u SAP'!$K$3:$K$501,"=671")</f>
        <v>0</v>
      </c>
      <c r="K64" s="202">
        <f>SUMIFS('Plan prihoda za unos u SAP'!$H$3:$H$501,'Plan prihoda za unos u SAP'!$C$3:$C$501,"=552",'Plan prihoda za unos u SAP'!$K$3:$K$501,"=671")</f>
        <v>0</v>
      </c>
      <c r="L64" s="202">
        <f>SUMIFS('Plan prihoda za unos u SAP'!$H$3:$H$501,'Plan prihoda za unos u SAP'!$C$3:$C$501,"=559",'Plan prihoda za unos u SAP'!$K$3:$K$501,"=671")</f>
        <v>0</v>
      </c>
      <c r="M64" s="202">
        <f>SUMIFS('Plan prihoda za unos u SAP'!$H$3:$H$501,'Plan prihoda za unos u SAP'!$C$3:$C$501,"=561",'Plan prihoda za unos u SAP'!$K$3:$K$501,"=671")</f>
        <v>0</v>
      </c>
      <c r="N64" s="202">
        <f>SUMIFS('Plan prihoda za unos u SAP'!$H$3:$H$501,'Plan prihoda za unos u SAP'!$C$3:$C$501,"=563",'Plan prihoda za unos u SAP'!$K$3:$K$501,"=671")</f>
        <v>0</v>
      </c>
      <c r="O64" s="202">
        <f>SUMIFS('Plan prihoda za unos u SAP'!$H$3:$H$501,'Plan prihoda za unos u SAP'!$C$3:$C$501,"=573",'Plan prihoda za unos u SAP'!$K$3:$K$501,"=671")</f>
        <v>0</v>
      </c>
      <c r="P64" s="202">
        <f>SUMIFS('Plan prihoda za unos u SAP'!$H$3:$H$501,'Plan prihoda za unos u SAP'!$C$3:$C$501,"=575",'Plan prihoda za unos u SAP'!$K$3:$K$501,"=671")</f>
        <v>0</v>
      </c>
      <c r="Q64" s="202">
        <f>SUMIFS('Plan prihoda za unos u SAP'!$H$3:$H$501,'Plan prihoda za unos u SAP'!$C$3:$C$501,"=61",'Plan prihoda za unos u SAP'!$K$3:$K$501,"=671")</f>
        <v>0</v>
      </c>
      <c r="R64" s="202">
        <f>SUMIFS('Plan prihoda za unos u SAP'!$H$3:$H$501,'Plan prihoda za unos u SAP'!$C$3:$C$501,"=63",'Plan prihoda za unos u SAP'!$K$3:$K$501,"=671")</f>
        <v>0</v>
      </c>
      <c r="S64" s="202">
        <f>SUMIFS('Plan prihoda za unos u SAP'!$H$3:$H$501,'Plan prihoda za unos u SAP'!$C$3:$C$501,"=71",'Plan prihoda za unos u SAP'!$K$3:$K$501,"=671")</f>
        <v>0</v>
      </c>
      <c r="T64" s="202">
        <f>SUMIFS('Plan prihoda za unos u SAP'!$H$3:$H$501,'Plan prihoda za unos u SAP'!$C$3:$C$501,"=81",'Plan prihoda za unos u SAP'!$K$3:$K$501,"=671")</f>
        <v>0</v>
      </c>
      <c r="U64" s="202">
        <f>SUMIFS('Plan prihoda za unos u SAP'!$H$3:$H$501,'Plan prihoda za unos u SAP'!$C$3:$C$501,"=83",'Plan prihoda za unos u SAP'!$K$3:$K$501,"=671")</f>
        <v>0</v>
      </c>
    </row>
    <row r="65" spans="1:21" s="91" customFormat="1">
      <c r="A65" s="96" t="s">
        <v>323</v>
      </c>
      <c r="B65" s="97" t="s">
        <v>324</v>
      </c>
      <c r="C65" s="71">
        <f t="shared" si="27"/>
        <v>0</v>
      </c>
      <c r="D65" s="202">
        <f>SUMIFS('Plan prihoda za unos u SAP'!$H$3:$H$501,'Plan prihoda za unos u SAP'!$C$3:$C$501,"=11",'Plan prihoda za unos u SAP'!$K$3:$K$501,"=681")</f>
        <v>0</v>
      </c>
      <c r="E65" s="202">
        <f>SUMIFS('Plan prihoda za unos u SAP'!$H$3:$H$501,'Plan prihoda za unos u SAP'!$C$3:$C$501,"=12",'Plan prihoda za unos u SAP'!$K$3:$K$501,"=681")</f>
        <v>0</v>
      </c>
      <c r="F65" s="202">
        <f>SUMIFS('Plan prihoda za unos u SAP'!$H$3:$H$501,'Plan prihoda za unos u SAP'!$C$3:$C$501,"=31",'Plan prihoda za unos u SAP'!$K$3:$K$501,"=681")</f>
        <v>0</v>
      </c>
      <c r="G65" s="202">
        <f>SUMIFS('Plan prihoda za unos u SAP'!$H$3:$H$501,'Plan prihoda za unos u SAP'!$C$3:$C$501,"=41",'Plan prihoda za unos u SAP'!$K$3:$K$501,"=681")</f>
        <v>0</v>
      </c>
      <c r="H65" s="202">
        <f>SUMIFS('Plan prihoda za unos u SAP'!$H$3:$H$501,'Plan prihoda za unos u SAP'!$C$3:$C$501,"=43",'Plan prihoda za unos u SAP'!$K$3:$K$501,"=681")</f>
        <v>0</v>
      </c>
      <c r="I65" s="202">
        <f>SUMIFS('Plan prihoda za unos u SAP'!$H$3:$H$501,'Plan prihoda za unos u SAP'!$C$3:$C$501,"=51",'Plan prihoda za unos u SAP'!$K$3:$K$501,"=681")</f>
        <v>0</v>
      </c>
      <c r="J65" s="202">
        <f>SUMIFS('Plan prihoda za unos u SAP'!$H$3:$H$501,'Plan prihoda za unos u SAP'!$C$3:$C$501,"=52",'Plan prihoda za unos u SAP'!$K$3:$K$501,"=681")</f>
        <v>0</v>
      </c>
      <c r="K65" s="202">
        <f>SUMIFS('Plan prihoda za unos u SAP'!$H$3:$H$501,'Plan prihoda za unos u SAP'!$C$3:$C$501,"=552",'Plan prihoda za unos u SAP'!$K$3:$K$501,"=681")</f>
        <v>0</v>
      </c>
      <c r="L65" s="202">
        <f>SUMIFS('Plan prihoda za unos u SAP'!$H$3:$H$501,'Plan prihoda za unos u SAP'!$C$3:$C$501,"=559",'Plan prihoda za unos u SAP'!$K$3:$K$501,"=681")</f>
        <v>0</v>
      </c>
      <c r="M65" s="202">
        <f>SUMIFS('Plan prihoda za unos u SAP'!$H$3:$H$501,'Plan prihoda za unos u SAP'!$C$3:$C$501,"=561",'Plan prihoda za unos u SAP'!$K$3:$K$501,"=681")</f>
        <v>0</v>
      </c>
      <c r="N65" s="202">
        <f>SUMIFS('Plan prihoda za unos u SAP'!$H$3:$H$501,'Plan prihoda za unos u SAP'!$C$3:$C$501,"=563",'Plan prihoda za unos u SAP'!$K$3:$K$501,"=681")</f>
        <v>0</v>
      </c>
      <c r="O65" s="202">
        <f>SUMIFS('Plan prihoda za unos u SAP'!$H$3:$H$501,'Plan prihoda za unos u SAP'!$C$3:$C$501,"=573",'Plan prihoda za unos u SAP'!$K$3:$K$501,"=681")</f>
        <v>0</v>
      </c>
      <c r="P65" s="202">
        <f>SUMIFS('Plan prihoda za unos u SAP'!$H$3:$H$501,'Plan prihoda za unos u SAP'!$C$3:$C$501,"=575",'Plan prihoda za unos u SAP'!$K$3:$K$501,"=681")</f>
        <v>0</v>
      </c>
      <c r="Q65" s="202">
        <f>SUMIFS('Plan prihoda za unos u SAP'!$H$3:$H$501,'Plan prihoda za unos u SAP'!$C$3:$C$501,"=61",'Plan prihoda za unos u SAP'!$K$3:$K$501,"=681")</f>
        <v>0</v>
      </c>
      <c r="R65" s="202">
        <f>SUMIFS('Plan prihoda za unos u SAP'!$H$3:$H$501,'Plan prihoda za unos u SAP'!$C$3:$C$501,"=63",'Plan prihoda za unos u SAP'!$K$3:$K$501,"=681")</f>
        <v>0</v>
      </c>
      <c r="S65" s="202">
        <f>SUMIFS('Plan prihoda za unos u SAP'!$H$3:$H$501,'Plan prihoda za unos u SAP'!$C$3:$C$501,"=71",'Plan prihoda za unos u SAP'!$K$3:$K$501,"=681")</f>
        <v>0</v>
      </c>
      <c r="T65" s="202">
        <f>SUMIFS('Plan prihoda za unos u SAP'!$H$3:$H$501,'Plan prihoda za unos u SAP'!$C$3:$C$501,"=81",'Plan prihoda za unos u SAP'!$K$3:$K$501,"=681")</f>
        <v>0</v>
      </c>
      <c r="U65" s="202">
        <f>SUMIFS('Plan prihoda za unos u SAP'!$H$3:$H$501,'Plan prihoda za unos u SAP'!$C$3:$C$501,"=83",'Plan prihoda za unos u SAP'!$K$3:$K$501,"=681")</f>
        <v>0</v>
      </c>
    </row>
    <row r="66" spans="1:21" s="91" customFormat="1">
      <c r="A66" s="96" t="s">
        <v>325</v>
      </c>
      <c r="B66" s="97" t="s">
        <v>326</v>
      </c>
      <c r="C66" s="71">
        <f t="shared" si="27"/>
        <v>0</v>
      </c>
      <c r="D66" s="202">
        <f>SUMIFS('Plan prihoda za unos u SAP'!$H$3:$H$501,'Plan prihoda za unos u SAP'!$C$3:$C$501,"=11",'Plan prihoda za unos u SAP'!$K$3:$K$501,"=683")</f>
        <v>0</v>
      </c>
      <c r="E66" s="202">
        <f>SUMIFS('Plan prihoda za unos u SAP'!$H$3:$H$501,'Plan prihoda za unos u SAP'!$C$3:$C$501,"=12",'Plan prihoda za unos u SAP'!$K$3:$K$501,"=683")</f>
        <v>0</v>
      </c>
      <c r="F66" s="202">
        <f>SUMIFS('Plan prihoda za unos u SAP'!$H$3:$H$501,'Plan prihoda za unos u SAP'!$C$3:$C$501,"=31",'Plan prihoda za unos u SAP'!$K$3:$K$501,"=683")</f>
        <v>0</v>
      </c>
      <c r="G66" s="202">
        <f>SUMIFS('Plan prihoda za unos u SAP'!$H$3:$H$501,'Plan prihoda za unos u SAP'!$C$3:$C$501,"=41",'Plan prihoda za unos u SAP'!$K$3:$K$501,"=683")</f>
        <v>0</v>
      </c>
      <c r="H66" s="202">
        <f>SUMIFS('Plan prihoda za unos u SAP'!$H$3:$H$501,'Plan prihoda za unos u SAP'!$C$3:$C$501,"=43",'Plan prihoda za unos u SAP'!$K$3:$K$501,"=683")</f>
        <v>0</v>
      </c>
      <c r="I66" s="202">
        <f>SUMIFS('Plan prihoda za unos u SAP'!$H$3:$H$501,'Plan prihoda za unos u SAP'!$C$3:$C$501,"=51",'Plan prihoda za unos u SAP'!$K$3:$K$501,"=683")</f>
        <v>0</v>
      </c>
      <c r="J66" s="202">
        <f>SUMIFS('Plan prihoda za unos u SAP'!$H$3:$H$501,'Plan prihoda za unos u SAP'!$C$3:$C$501,"=52",'Plan prihoda za unos u SAP'!$K$3:$K$501,"=683")</f>
        <v>0</v>
      </c>
      <c r="K66" s="202">
        <f>SUMIFS('Plan prihoda za unos u SAP'!$H$3:$H$501,'Plan prihoda za unos u SAP'!$C$3:$C$501,"=552",'Plan prihoda za unos u SAP'!$K$3:$K$501,"=683")</f>
        <v>0</v>
      </c>
      <c r="L66" s="202">
        <f>SUMIFS('Plan prihoda za unos u SAP'!$H$3:$H$501,'Plan prihoda za unos u SAP'!$C$3:$C$501,"=559",'Plan prihoda za unos u SAP'!$K$3:$K$501,"=683")</f>
        <v>0</v>
      </c>
      <c r="M66" s="202">
        <f>SUMIFS('Plan prihoda za unos u SAP'!$H$3:$H$501,'Plan prihoda za unos u SAP'!$C$3:$C$501,"=561",'Plan prihoda za unos u SAP'!$K$3:$K$501,"=683")</f>
        <v>0</v>
      </c>
      <c r="N66" s="202">
        <f>SUMIFS('Plan prihoda za unos u SAP'!$H$3:$H$501,'Plan prihoda za unos u SAP'!$C$3:$C$501,"=563",'Plan prihoda za unos u SAP'!$K$3:$K$501,"=683")</f>
        <v>0</v>
      </c>
      <c r="O66" s="202">
        <f>SUMIFS('Plan prihoda za unos u SAP'!$H$3:$H$501,'Plan prihoda za unos u SAP'!$C$3:$C$501,"=573",'Plan prihoda za unos u SAP'!$K$3:$K$501,"=683")</f>
        <v>0</v>
      </c>
      <c r="P66" s="202">
        <f>SUMIFS('Plan prihoda za unos u SAP'!$H$3:$H$501,'Plan prihoda za unos u SAP'!$C$3:$C$501,"=575",'Plan prihoda za unos u SAP'!$K$3:$K$501,"=683")</f>
        <v>0</v>
      </c>
      <c r="Q66" s="202">
        <f>SUMIFS('Plan prihoda za unos u SAP'!$H$3:$H$501,'Plan prihoda za unos u SAP'!$C$3:$C$501,"=61",'Plan prihoda za unos u SAP'!$K$3:$K$501,"=683")</f>
        <v>0</v>
      </c>
      <c r="R66" s="202">
        <f>SUMIFS('Plan prihoda za unos u SAP'!$H$3:$H$501,'Plan prihoda za unos u SAP'!$C$3:$C$501,"=63",'Plan prihoda za unos u SAP'!$K$3:$K$501,"=683")</f>
        <v>0</v>
      </c>
      <c r="S66" s="202">
        <f>SUMIFS('Plan prihoda za unos u SAP'!$H$3:$H$501,'Plan prihoda za unos u SAP'!$C$3:$C$501,"=71",'Plan prihoda za unos u SAP'!$K$3:$K$501,"=683")</f>
        <v>0</v>
      </c>
      <c r="T66" s="202">
        <f>SUMIFS('Plan prihoda za unos u SAP'!$H$3:$H$501,'Plan prihoda za unos u SAP'!$C$3:$C$501,"=81",'Plan prihoda za unos u SAP'!$K$3:$K$501,"=683")</f>
        <v>0</v>
      </c>
      <c r="U66" s="202">
        <f>SUMIFS('Plan prihoda za unos u SAP'!$H$3:$H$501,'Plan prihoda za unos u SAP'!$C$3:$C$501,"=83",'Plan prihoda za unos u SAP'!$K$3:$K$501,"=683")</f>
        <v>0</v>
      </c>
    </row>
    <row r="67" spans="1:21" s="91" customFormat="1">
      <c r="A67" s="99" t="s">
        <v>327</v>
      </c>
      <c r="B67" s="100" t="s">
        <v>328</v>
      </c>
      <c r="C67" s="71">
        <f t="shared" si="27"/>
        <v>107064698</v>
      </c>
      <c r="D67" s="4">
        <f>SUM(D51:D66)</f>
        <v>64475723</v>
      </c>
      <c r="E67" s="4">
        <f t="shared" ref="E67:U67" si="44">SUM(E51:E66)</f>
        <v>4998847</v>
      </c>
      <c r="F67" s="4">
        <f t="shared" si="44"/>
        <v>3073000</v>
      </c>
      <c r="G67" s="4">
        <f t="shared" si="44"/>
        <v>0</v>
      </c>
      <c r="H67" s="4">
        <f t="shared" si="44"/>
        <v>1170000</v>
      </c>
      <c r="I67" s="4">
        <f>SUM(I51:I66)</f>
        <v>0</v>
      </c>
      <c r="J67" s="4">
        <f t="shared" si="44"/>
        <v>20313</v>
      </c>
      <c r="K67" s="4">
        <f t="shared" si="44"/>
        <v>0</v>
      </c>
      <c r="L67" s="4">
        <f t="shared" si="44"/>
        <v>0</v>
      </c>
      <c r="M67" s="4">
        <f t="shared" si="44"/>
        <v>28326815</v>
      </c>
      <c r="N67" s="4">
        <f t="shared" si="44"/>
        <v>0</v>
      </c>
      <c r="O67" s="4">
        <f t="shared" si="44"/>
        <v>0</v>
      </c>
      <c r="P67" s="4">
        <f t="shared" si="44"/>
        <v>0</v>
      </c>
      <c r="Q67" s="4">
        <f t="shared" si="44"/>
        <v>5000000</v>
      </c>
      <c r="R67" s="4">
        <f t="shared" si="44"/>
        <v>0</v>
      </c>
      <c r="S67" s="4">
        <f t="shared" si="44"/>
        <v>0</v>
      </c>
      <c r="T67" s="4">
        <f t="shared" si="44"/>
        <v>0</v>
      </c>
      <c r="U67" s="4">
        <f t="shared" si="44"/>
        <v>0</v>
      </c>
    </row>
    <row r="68" spans="1:21" s="91" customFormat="1">
      <c r="A68" s="96" t="s">
        <v>340</v>
      </c>
      <c r="B68" s="101" t="s">
        <v>341</v>
      </c>
      <c r="C68" s="71">
        <f t="shared" si="27"/>
        <v>0</v>
      </c>
      <c r="D68" s="202">
        <f>SUMIFS('Plan prihoda za unos u SAP'!$H$3:$H$501,'Plan prihoda za unos u SAP'!$C$3:$C$501,"=11",'Plan prihoda za unos u SAP'!$K$3:$K$501,"=711")</f>
        <v>0</v>
      </c>
      <c r="E68" s="202">
        <f>SUMIFS('Plan prihoda za unos u SAP'!$H$3:$H$501,'Plan prihoda za unos u SAP'!$C$3:$C$501,"=12",'Plan prihoda za unos u SAP'!$K$3:$K$501,"=711")</f>
        <v>0</v>
      </c>
      <c r="F68" s="202">
        <f>SUMIFS('Plan prihoda za unos u SAP'!$H$3:$H$501,'Plan prihoda za unos u SAP'!$C$3:$C$501,"=31",'Plan prihoda za unos u SAP'!$K$3:$K$501,"=711")</f>
        <v>0</v>
      </c>
      <c r="G68" s="202">
        <f>SUMIFS('Plan prihoda za unos u SAP'!$H$3:$H$501,'Plan prihoda za unos u SAP'!$C$3:$C$501,"=41",'Plan prihoda za unos u SAP'!$K$3:$K$501,"=711")</f>
        <v>0</v>
      </c>
      <c r="H68" s="202">
        <f>SUMIFS('Plan prihoda za unos u SAP'!$H$3:$H$501,'Plan prihoda za unos u SAP'!$C$3:$C$501,"=43",'Plan prihoda za unos u SAP'!$K$3:$K$501,"=711")</f>
        <v>0</v>
      </c>
      <c r="I68" s="202">
        <f>SUMIFS('Plan prihoda za unos u SAP'!$H$3:$H$501,'Plan prihoda za unos u SAP'!$C$3:$C$501,"=51",'Plan prihoda za unos u SAP'!$K$3:$K$501,"=711")</f>
        <v>0</v>
      </c>
      <c r="J68" s="202">
        <f>SUMIFS('Plan prihoda za unos u SAP'!$H$3:$H$501,'Plan prihoda za unos u SAP'!$C$3:$C$501,"=52",'Plan prihoda za unos u SAP'!$K$3:$K$501,"=711")</f>
        <v>0</v>
      </c>
      <c r="K68" s="202">
        <f>SUMIFS('Plan prihoda za unos u SAP'!$H$3:$H$501,'Plan prihoda za unos u SAP'!$C$3:$C$501,"=552",'Plan prihoda za unos u SAP'!$K$3:$K$501,"=711")</f>
        <v>0</v>
      </c>
      <c r="L68" s="202">
        <f>SUMIFS('Plan prihoda za unos u SAP'!$H$3:$H$501,'Plan prihoda za unos u SAP'!$C$3:$C$501,"=559",'Plan prihoda za unos u SAP'!$K$3:$K$501,"=711")</f>
        <v>0</v>
      </c>
      <c r="M68" s="202">
        <f>SUMIFS('Plan prihoda za unos u SAP'!$H$3:$H$501,'Plan prihoda za unos u SAP'!$C$3:$C$501,"=561",'Plan prihoda za unos u SAP'!$K$3:$K$501,"=711")</f>
        <v>0</v>
      </c>
      <c r="N68" s="202">
        <f>SUMIFS('Plan prihoda za unos u SAP'!$H$3:$H$501,'Plan prihoda za unos u SAP'!$C$3:$C$501,"=563",'Plan prihoda za unos u SAP'!$K$3:$K$501,"=711")</f>
        <v>0</v>
      </c>
      <c r="O68" s="202">
        <f>SUMIFS('Plan prihoda za unos u SAP'!$H$3:$H$501,'Plan prihoda za unos u SAP'!$C$3:$C$501,"=573",'Plan prihoda za unos u SAP'!$K$3:$K$501,"=711")</f>
        <v>0</v>
      </c>
      <c r="P68" s="202">
        <f>SUMIFS('Plan prihoda za unos u SAP'!$H$3:$H$501,'Plan prihoda za unos u SAP'!$C$3:$C$501,"=575",'Plan prihoda za unos u SAP'!$K$3:$K$501,"=711")</f>
        <v>0</v>
      </c>
      <c r="Q68" s="202">
        <f>SUMIFS('Plan prihoda za unos u SAP'!$H$3:$H$501,'Plan prihoda za unos u SAP'!$C$3:$C$501,"=61",'Plan prihoda za unos u SAP'!$K$3:$K$501,"=711")</f>
        <v>0</v>
      </c>
      <c r="R68" s="202">
        <f>SUMIFS('Plan prihoda za unos u SAP'!$H$3:$H$501,'Plan prihoda za unos u SAP'!$C$3:$C$501,"=63",'Plan prihoda za unos u SAP'!$K$3:$K$501,"=711")</f>
        <v>0</v>
      </c>
      <c r="S68" s="202">
        <f>SUMIFS('Plan prihoda za unos u SAP'!$H$3:$H$501,'Plan prihoda za unos u SAP'!$C$3:$C$501,"=71",'Plan prihoda za unos u SAP'!$K$3:$K$501,"=711")</f>
        <v>0</v>
      </c>
      <c r="T68" s="202">
        <f>SUMIFS('Plan prihoda za unos u SAP'!$H$3:$H$501,'Plan prihoda za unos u SAP'!$C$3:$C$501,"=81",'Plan prihoda za unos u SAP'!$K$3:$K$501,"=711")</f>
        <v>0</v>
      </c>
      <c r="U68" s="202">
        <f>SUMIFS('Plan prihoda za unos u SAP'!$H$3:$H$501,'Plan prihoda za unos u SAP'!$C$3:$C$501,"=83",'Plan prihoda za unos u SAP'!$K$3:$K$501,"=711")</f>
        <v>0</v>
      </c>
    </row>
    <row r="69" spans="1:21" s="91" customFormat="1">
      <c r="A69" s="96" t="s">
        <v>342</v>
      </c>
      <c r="B69" s="101" t="s">
        <v>343</v>
      </c>
      <c r="C69" s="71">
        <f t="shared" si="27"/>
        <v>0</v>
      </c>
      <c r="D69" s="202">
        <f>SUMIFS('Plan prihoda za unos u SAP'!$H$3:$H$501,'Plan prihoda za unos u SAP'!$C$3:$C$501,"=11",'Plan prihoda za unos u SAP'!$K$3:$K$501,"=712")</f>
        <v>0</v>
      </c>
      <c r="E69" s="202">
        <f>SUMIFS('Plan prihoda za unos u SAP'!$H$3:$H$501,'Plan prihoda za unos u SAP'!$C$3:$C$501,"=12",'Plan prihoda za unos u SAP'!$K$3:$K$501,"=712")</f>
        <v>0</v>
      </c>
      <c r="F69" s="202">
        <f>SUMIFS('Plan prihoda za unos u SAP'!$H$3:$H$501,'Plan prihoda za unos u SAP'!$C$3:$C$501,"=31",'Plan prihoda za unos u SAP'!$K$3:$K$501,"=712")</f>
        <v>0</v>
      </c>
      <c r="G69" s="202">
        <f>SUMIFS('Plan prihoda za unos u SAP'!$H$3:$H$501,'Plan prihoda za unos u SAP'!$C$3:$C$501,"=41",'Plan prihoda za unos u SAP'!$K$3:$K$501,"=712")</f>
        <v>0</v>
      </c>
      <c r="H69" s="202">
        <f>SUMIFS('Plan prihoda za unos u SAP'!$H$3:$H$501,'Plan prihoda za unos u SAP'!$C$3:$C$501,"=43",'Plan prihoda za unos u SAP'!$K$3:$K$501,"=712")</f>
        <v>0</v>
      </c>
      <c r="I69" s="202">
        <f>SUMIFS('Plan prihoda za unos u SAP'!$H$3:$H$501,'Plan prihoda za unos u SAP'!$C$3:$C$501,"=51",'Plan prihoda za unos u SAP'!$K$3:$K$501,"=712")</f>
        <v>0</v>
      </c>
      <c r="J69" s="202">
        <f>SUMIFS('Plan prihoda za unos u SAP'!$H$3:$H$501,'Plan prihoda za unos u SAP'!$C$3:$C$501,"=52",'Plan prihoda za unos u SAP'!$K$3:$K$501,"=712")</f>
        <v>0</v>
      </c>
      <c r="K69" s="202">
        <f>SUMIFS('Plan prihoda za unos u SAP'!$H$3:$H$501,'Plan prihoda za unos u SAP'!$C$3:$C$501,"=552",'Plan prihoda za unos u SAP'!$K$3:$K$501,"=712")</f>
        <v>0</v>
      </c>
      <c r="L69" s="202">
        <f>SUMIFS('Plan prihoda za unos u SAP'!$H$3:$H$501,'Plan prihoda za unos u SAP'!$C$3:$C$501,"=559",'Plan prihoda za unos u SAP'!$K$3:$K$501,"=712")</f>
        <v>0</v>
      </c>
      <c r="M69" s="202">
        <f>SUMIFS('Plan prihoda za unos u SAP'!$H$3:$H$501,'Plan prihoda za unos u SAP'!$C$3:$C$501,"=561",'Plan prihoda za unos u SAP'!$K$3:$K$501,"=712")</f>
        <v>0</v>
      </c>
      <c r="N69" s="202">
        <f>SUMIFS('Plan prihoda za unos u SAP'!$H$3:$H$501,'Plan prihoda za unos u SAP'!$C$3:$C$501,"=563",'Plan prihoda za unos u SAP'!$K$3:$K$501,"=712")</f>
        <v>0</v>
      </c>
      <c r="O69" s="202">
        <f>SUMIFS('Plan prihoda za unos u SAP'!$H$3:$H$501,'Plan prihoda za unos u SAP'!$C$3:$C$501,"=573",'Plan prihoda za unos u SAP'!$K$3:$K$501,"=712")</f>
        <v>0</v>
      </c>
      <c r="P69" s="202">
        <f>SUMIFS('Plan prihoda za unos u SAP'!$H$3:$H$501,'Plan prihoda za unos u SAP'!$C$3:$C$501,"=575",'Plan prihoda za unos u SAP'!$K$3:$K$501,"=712")</f>
        <v>0</v>
      </c>
      <c r="Q69" s="202">
        <f>SUMIFS('Plan prihoda za unos u SAP'!$H$3:$H$501,'Plan prihoda za unos u SAP'!$C$3:$C$501,"=61",'Plan prihoda za unos u SAP'!$K$3:$K$501,"=712")</f>
        <v>0</v>
      </c>
      <c r="R69" s="202">
        <f>SUMIFS('Plan prihoda za unos u SAP'!$H$3:$H$501,'Plan prihoda za unos u SAP'!$C$3:$C$501,"=63",'Plan prihoda za unos u SAP'!$K$3:$K$501,"=712")</f>
        <v>0</v>
      </c>
      <c r="S69" s="202">
        <f>SUMIFS('Plan prihoda za unos u SAP'!$H$3:$H$501,'Plan prihoda za unos u SAP'!$C$3:$C$501,"=71",'Plan prihoda za unos u SAP'!$K$3:$K$501,"=712")</f>
        <v>0</v>
      </c>
      <c r="T69" s="202">
        <f>SUMIFS('Plan prihoda za unos u SAP'!$H$3:$H$501,'Plan prihoda za unos u SAP'!$C$3:$C$501,"=81",'Plan prihoda za unos u SAP'!$K$3:$K$501,"=712")</f>
        <v>0</v>
      </c>
      <c r="U69" s="202">
        <f>SUMIFS('Plan prihoda za unos u SAP'!$H$3:$H$501,'Plan prihoda za unos u SAP'!$C$3:$C$501,"=83",'Plan prihoda za unos u SAP'!$K$3:$K$501,"=712")</f>
        <v>0</v>
      </c>
    </row>
    <row r="70" spans="1:21" s="91" customFormat="1">
      <c r="A70" s="96" t="s">
        <v>329</v>
      </c>
      <c r="B70" s="101" t="s">
        <v>330</v>
      </c>
      <c r="C70" s="71">
        <f t="shared" si="27"/>
        <v>1000</v>
      </c>
      <c r="D70" s="202">
        <f>SUMIFS('Plan prihoda za unos u SAP'!$H$3:$H$501,'Plan prihoda za unos u SAP'!$C$3:$C$501,"=11",'Plan prihoda za unos u SAP'!$K$3:$K$501,"=721")</f>
        <v>0</v>
      </c>
      <c r="E70" s="202">
        <f>SUMIFS('Plan prihoda za unos u SAP'!$H$3:$H$501,'Plan prihoda za unos u SAP'!$C$3:$C$501,"=12",'Plan prihoda za unos u SAP'!$K$3:$K$501,"=721")</f>
        <v>0</v>
      </c>
      <c r="F70" s="202">
        <f>SUMIFS('Plan prihoda za unos u SAP'!$H$3:$H$501,'Plan prihoda za unos u SAP'!$C$3:$C$501,"=31",'Plan prihoda za unos u SAP'!$K$3:$K$501,"=721")</f>
        <v>0</v>
      </c>
      <c r="G70" s="202">
        <f>SUMIFS('Plan prihoda za unos u SAP'!$H$3:$H$501,'Plan prihoda za unos u SAP'!$C$3:$C$501,"=41",'Plan prihoda za unos u SAP'!$K$3:$K$501,"=721")</f>
        <v>0</v>
      </c>
      <c r="H70" s="202">
        <f>SUMIFS('Plan prihoda za unos u SAP'!$H$3:$H$501,'Plan prihoda za unos u SAP'!$C$3:$C$501,"=43",'Plan prihoda za unos u SAP'!$K$3:$K$501,"=721")</f>
        <v>0</v>
      </c>
      <c r="I70" s="202">
        <f>SUMIFS('Plan prihoda za unos u SAP'!$H$3:$H$501,'Plan prihoda za unos u SAP'!$C$3:$C$501,"=51",'Plan prihoda za unos u SAP'!$K$3:$K$501,"=721")</f>
        <v>0</v>
      </c>
      <c r="J70" s="202">
        <f>SUMIFS('Plan prihoda za unos u SAP'!$H$3:$H$501,'Plan prihoda za unos u SAP'!$C$3:$C$501,"=52",'Plan prihoda za unos u SAP'!$K$3:$K$501,"=721")</f>
        <v>0</v>
      </c>
      <c r="K70" s="202">
        <f>SUMIFS('Plan prihoda za unos u SAP'!$H$3:$H$501,'Plan prihoda za unos u SAP'!$C$3:$C$501,"=552",'Plan prihoda za unos u SAP'!$K$3:$K$501,"=721")</f>
        <v>0</v>
      </c>
      <c r="L70" s="202">
        <f>SUMIFS('Plan prihoda za unos u SAP'!$H$3:$H$501,'Plan prihoda za unos u SAP'!$C$3:$C$501,"=559",'Plan prihoda za unos u SAP'!$K$3:$K$501,"=721")</f>
        <v>0</v>
      </c>
      <c r="M70" s="202">
        <f>SUMIFS('Plan prihoda za unos u SAP'!$H$3:$H$501,'Plan prihoda za unos u SAP'!$C$3:$C$501,"=561",'Plan prihoda za unos u SAP'!$K$3:$K$501,"=721")</f>
        <v>0</v>
      </c>
      <c r="N70" s="202">
        <f>SUMIFS('Plan prihoda za unos u SAP'!$H$3:$H$501,'Plan prihoda za unos u SAP'!$C$3:$C$501,"=563",'Plan prihoda za unos u SAP'!$K$3:$K$501,"=721")</f>
        <v>0</v>
      </c>
      <c r="O70" s="202">
        <f>SUMIFS('Plan prihoda za unos u SAP'!$H$3:$H$501,'Plan prihoda za unos u SAP'!$C$3:$C$501,"=573",'Plan prihoda za unos u SAP'!$K$3:$K$501,"=721")</f>
        <v>0</v>
      </c>
      <c r="P70" s="202">
        <f>SUMIFS('Plan prihoda za unos u SAP'!$H$3:$H$501,'Plan prihoda za unos u SAP'!$C$3:$C$501,"=575",'Plan prihoda za unos u SAP'!$K$3:$K$501,"=721")</f>
        <v>0</v>
      </c>
      <c r="Q70" s="202">
        <f>SUMIFS('Plan prihoda za unos u SAP'!$H$3:$H$501,'Plan prihoda za unos u SAP'!$C$3:$C$501,"=61",'Plan prihoda za unos u SAP'!$K$3:$K$501,"=721")</f>
        <v>0</v>
      </c>
      <c r="R70" s="202">
        <f>SUMIFS('Plan prihoda za unos u SAP'!$H$3:$H$501,'Plan prihoda za unos u SAP'!$C$3:$C$501,"=63",'Plan prihoda za unos u SAP'!$K$3:$K$501,"=721")</f>
        <v>0</v>
      </c>
      <c r="S70" s="202">
        <f>SUMIFS('Plan prihoda za unos u SAP'!$H$3:$H$501,'Plan prihoda za unos u SAP'!$C$3:$C$501,"=71",'Plan prihoda za unos u SAP'!$K$3:$K$501,"=721")</f>
        <v>1000</v>
      </c>
      <c r="T70" s="202">
        <f>SUMIFS('Plan prihoda za unos u SAP'!$H$3:$H$501,'Plan prihoda za unos u SAP'!$C$3:$C$501,"=81",'Plan prihoda za unos u SAP'!$K$3:$K$501,"=721")</f>
        <v>0</v>
      </c>
      <c r="U70" s="202">
        <f>SUMIFS('Plan prihoda za unos u SAP'!$H$3:$H$501,'Plan prihoda za unos u SAP'!$C$3:$C$501,"=83",'Plan prihoda za unos u SAP'!$K$3:$K$501,"=721")</f>
        <v>0</v>
      </c>
    </row>
    <row r="71" spans="1:21" s="91" customFormat="1">
      <c r="A71" s="96" t="s">
        <v>331</v>
      </c>
      <c r="B71" s="101" t="s">
        <v>332</v>
      </c>
      <c r="C71" s="71">
        <f t="shared" si="27"/>
        <v>0</v>
      </c>
      <c r="D71" s="202">
        <f>SUMIFS('Plan prihoda za unos u SAP'!$H$3:$H$501,'Plan prihoda za unos u SAP'!$C$3:$C$501,"=11",'Plan prihoda za unos u SAP'!$K$3:$K$501,"=722")</f>
        <v>0</v>
      </c>
      <c r="E71" s="202">
        <f>SUMIFS('Plan prihoda za unos u SAP'!$H$3:$H$501,'Plan prihoda za unos u SAP'!$C$3:$C$501,"=12",'Plan prihoda za unos u SAP'!$K$3:$K$501,"=722")</f>
        <v>0</v>
      </c>
      <c r="F71" s="202">
        <f>SUMIFS('Plan prihoda za unos u SAP'!$H$3:$H$501,'Plan prihoda za unos u SAP'!$C$3:$C$501,"=31",'Plan prihoda za unos u SAP'!$K$3:$K$501,"=722")</f>
        <v>0</v>
      </c>
      <c r="G71" s="202">
        <f>SUMIFS('Plan prihoda za unos u SAP'!$H$3:$H$501,'Plan prihoda za unos u SAP'!$C$3:$C$501,"=41",'Plan prihoda za unos u SAP'!$K$3:$K$501,"=722")</f>
        <v>0</v>
      </c>
      <c r="H71" s="202">
        <f>SUMIFS('Plan prihoda za unos u SAP'!$H$3:$H$501,'Plan prihoda za unos u SAP'!$C$3:$C$501,"=43",'Plan prihoda za unos u SAP'!$K$3:$K$501,"=722")</f>
        <v>0</v>
      </c>
      <c r="I71" s="202">
        <f>SUMIFS('Plan prihoda za unos u SAP'!$H$3:$H$501,'Plan prihoda za unos u SAP'!$C$3:$C$501,"=51",'Plan prihoda za unos u SAP'!$K$3:$K$501,"=722")</f>
        <v>0</v>
      </c>
      <c r="J71" s="202">
        <f>SUMIFS('Plan prihoda za unos u SAP'!$H$3:$H$501,'Plan prihoda za unos u SAP'!$C$3:$C$501,"=52",'Plan prihoda za unos u SAP'!$K$3:$K$501,"=722")</f>
        <v>0</v>
      </c>
      <c r="K71" s="202">
        <f>SUMIFS('Plan prihoda za unos u SAP'!$H$3:$H$501,'Plan prihoda za unos u SAP'!$C$3:$C$501,"=552",'Plan prihoda za unos u SAP'!$K$3:$K$501,"=722")</f>
        <v>0</v>
      </c>
      <c r="L71" s="202">
        <f>SUMIFS('Plan prihoda za unos u SAP'!$H$3:$H$501,'Plan prihoda za unos u SAP'!$C$3:$C$501,"=559",'Plan prihoda za unos u SAP'!$K$3:$K$501,"=722")</f>
        <v>0</v>
      </c>
      <c r="M71" s="202">
        <f>SUMIFS('Plan prihoda za unos u SAP'!$H$3:$H$501,'Plan prihoda za unos u SAP'!$C$3:$C$501,"=561",'Plan prihoda za unos u SAP'!$K$3:$K$501,"=722")</f>
        <v>0</v>
      </c>
      <c r="N71" s="202">
        <f>SUMIFS('Plan prihoda za unos u SAP'!$H$3:$H$501,'Plan prihoda za unos u SAP'!$C$3:$C$501,"=563",'Plan prihoda za unos u SAP'!$K$3:$K$501,"=722")</f>
        <v>0</v>
      </c>
      <c r="O71" s="202">
        <f>SUMIFS('Plan prihoda za unos u SAP'!$H$3:$H$501,'Plan prihoda za unos u SAP'!$C$3:$C$501,"=573",'Plan prihoda za unos u SAP'!$K$3:$K$501,"=722")</f>
        <v>0</v>
      </c>
      <c r="P71" s="202">
        <f>SUMIFS('Plan prihoda za unos u SAP'!$H$3:$H$501,'Plan prihoda za unos u SAP'!$C$3:$C$501,"=575",'Plan prihoda za unos u SAP'!$K$3:$K$501,"=722")</f>
        <v>0</v>
      </c>
      <c r="Q71" s="202">
        <f>SUMIFS('Plan prihoda za unos u SAP'!$H$3:$H$501,'Plan prihoda za unos u SAP'!$C$3:$C$501,"=61",'Plan prihoda za unos u SAP'!$K$3:$K$501,"=722")</f>
        <v>0</v>
      </c>
      <c r="R71" s="202">
        <f>SUMIFS('Plan prihoda za unos u SAP'!$H$3:$H$501,'Plan prihoda za unos u SAP'!$C$3:$C$501,"=63",'Plan prihoda za unos u SAP'!$K$3:$K$501,"=722")</f>
        <v>0</v>
      </c>
      <c r="S71" s="202">
        <f>SUMIFS('Plan prihoda za unos u SAP'!$H$3:$H$501,'Plan prihoda za unos u SAP'!$C$3:$C$501,"=71",'Plan prihoda za unos u SAP'!$K$3:$K$501,"=722")</f>
        <v>0</v>
      </c>
      <c r="T71" s="202">
        <f>SUMIFS('Plan prihoda za unos u SAP'!$H$3:$H$501,'Plan prihoda za unos u SAP'!$C$3:$C$501,"=81",'Plan prihoda za unos u SAP'!$K$3:$K$501,"=722")</f>
        <v>0</v>
      </c>
      <c r="U71" s="202">
        <f>SUMIFS('Plan prihoda za unos u SAP'!$H$3:$H$501,'Plan prihoda za unos u SAP'!$C$3:$C$501,"=83",'Plan prihoda za unos u SAP'!$K$3:$K$501,"=722")</f>
        <v>0</v>
      </c>
    </row>
    <row r="72" spans="1:21" s="91" customFormat="1">
      <c r="A72" s="96" t="s">
        <v>333</v>
      </c>
      <c r="B72" s="101" t="s">
        <v>334</v>
      </c>
      <c r="C72" s="71">
        <f t="shared" si="27"/>
        <v>0</v>
      </c>
      <c r="D72" s="202">
        <f>SUMIFS('Plan prihoda za unos u SAP'!$H$3:$H$501,'Plan prihoda za unos u SAP'!$C$3:$C$501,"=11",'Plan prihoda za unos u SAP'!$K$3:$K$501,"=723")</f>
        <v>0</v>
      </c>
      <c r="E72" s="202">
        <f>SUMIFS('Plan prihoda za unos u SAP'!$H$3:$H$501,'Plan prihoda za unos u SAP'!$C$3:$C$501,"=12",'Plan prihoda za unos u SAP'!$K$3:$K$501,"=723")</f>
        <v>0</v>
      </c>
      <c r="F72" s="202">
        <f>SUMIFS('Plan prihoda za unos u SAP'!$H$3:$H$501,'Plan prihoda za unos u SAP'!$C$3:$C$501,"=31",'Plan prihoda za unos u SAP'!$K$3:$K$501,"=723")</f>
        <v>0</v>
      </c>
      <c r="G72" s="202">
        <f>SUMIFS('Plan prihoda za unos u SAP'!$H$3:$H$501,'Plan prihoda za unos u SAP'!$C$3:$C$501,"=41",'Plan prihoda za unos u SAP'!$K$3:$K$501,"=723")</f>
        <v>0</v>
      </c>
      <c r="H72" s="202">
        <f>SUMIFS('Plan prihoda za unos u SAP'!$H$3:$H$501,'Plan prihoda za unos u SAP'!$C$3:$C$501,"=43",'Plan prihoda za unos u SAP'!$K$3:$K$501,"=723")</f>
        <v>0</v>
      </c>
      <c r="I72" s="202">
        <f>SUMIFS('Plan prihoda za unos u SAP'!$H$3:$H$501,'Plan prihoda za unos u SAP'!$C$3:$C$501,"=51",'Plan prihoda za unos u SAP'!$K$3:$K$501,"=723")</f>
        <v>0</v>
      </c>
      <c r="J72" s="202">
        <f>SUMIFS('Plan prihoda za unos u SAP'!$H$3:$H$501,'Plan prihoda za unos u SAP'!$C$3:$C$501,"=52",'Plan prihoda za unos u SAP'!$K$3:$K$501,"=723")</f>
        <v>0</v>
      </c>
      <c r="K72" s="202">
        <f>SUMIFS('Plan prihoda za unos u SAP'!$H$3:$H$501,'Plan prihoda za unos u SAP'!$C$3:$C$501,"=552",'Plan prihoda za unos u SAP'!$K$3:$K$501,"=723")</f>
        <v>0</v>
      </c>
      <c r="L72" s="202">
        <f>SUMIFS('Plan prihoda za unos u SAP'!$H$3:$H$501,'Plan prihoda za unos u SAP'!$C$3:$C$501,"=559",'Plan prihoda za unos u SAP'!$K$3:$K$501,"=723")</f>
        <v>0</v>
      </c>
      <c r="M72" s="202">
        <f>SUMIFS('Plan prihoda za unos u SAP'!$H$3:$H$501,'Plan prihoda za unos u SAP'!$C$3:$C$501,"=561",'Plan prihoda za unos u SAP'!$K$3:$K$501,"=723")</f>
        <v>0</v>
      </c>
      <c r="N72" s="202">
        <f>SUMIFS('Plan prihoda za unos u SAP'!$H$3:$H$501,'Plan prihoda za unos u SAP'!$C$3:$C$501,"=563",'Plan prihoda za unos u SAP'!$K$3:$K$501,"=723")</f>
        <v>0</v>
      </c>
      <c r="O72" s="202">
        <f>SUMIFS('Plan prihoda za unos u SAP'!$H$3:$H$501,'Plan prihoda za unos u SAP'!$C$3:$C$501,"=573",'Plan prihoda za unos u SAP'!$K$3:$K$501,"=723")</f>
        <v>0</v>
      </c>
      <c r="P72" s="202">
        <f>SUMIFS('Plan prihoda za unos u SAP'!$H$3:$H$501,'Plan prihoda za unos u SAP'!$C$3:$C$501,"=575",'Plan prihoda za unos u SAP'!$K$3:$K$501,"=723")</f>
        <v>0</v>
      </c>
      <c r="Q72" s="202">
        <f>SUMIFS('Plan prihoda za unos u SAP'!$H$3:$H$501,'Plan prihoda za unos u SAP'!$C$3:$C$501,"=61",'Plan prihoda za unos u SAP'!$K$3:$K$501,"=723")</f>
        <v>0</v>
      </c>
      <c r="R72" s="202">
        <f>SUMIFS('Plan prihoda za unos u SAP'!$H$3:$H$501,'Plan prihoda za unos u SAP'!$C$3:$C$501,"=63",'Plan prihoda za unos u SAP'!$K$3:$K$501,"=723")</f>
        <v>0</v>
      </c>
      <c r="S72" s="202">
        <f>SUMIFS('Plan prihoda za unos u SAP'!$H$3:$H$501,'Plan prihoda za unos u SAP'!$C$3:$C$501,"=71",'Plan prihoda za unos u SAP'!$K$3:$K$501,"=723")</f>
        <v>0</v>
      </c>
      <c r="T72" s="202">
        <f>SUMIFS('Plan prihoda za unos u SAP'!$H$3:$H$501,'Plan prihoda za unos u SAP'!$C$3:$C$501,"=81",'Plan prihoda za unos u SAP'!$K$3:$K$501,"=723")</f>
        <v>0</v>
      </c>
      <c r="U72" s="202">
        <f>SUMIFS('Plan prihoda za unos u SAP'!$H$3:$H$501,'Plan prihoda za unos u SAP'!$C$3:$C$501,"=83",'Plan prihoda za unos u SAP'!$K$3:$K$501,"=723")</f>
        <v>0</v>
      </c>
    </row>
    <row r="73" spans="1:21" s="91" customFormat="1">
      <c r="A73" s="96" t="s">
        <v>344</v>
      </c>
      <c r="B73" s="101" t="s">
        <v>345</v>
      </c>
      <c r="C73" s="71">
        <f t="shared" si="27"/>
        <v>0</v>
      </c>
      <c r="D73" s="202">
        <f>SUMIFS('Plan prihoda za unos u SAP'!$H$3:$H$501,'Plan prihoda za unos u SAP'!$C$3:$C$501,"=11",'Plan prihoda za unos u SAP'!$K$3:$K$501,"=725")</f>
        <v>0</v>
      </c>
      <c r="E73" s="202">
        <f>SUMIFS('Plan prihoda za unos u SAP'!$H$3:$H$501,'Plan prihoda za unos u SAP'!$C$3:$C$501,"=12",'Plan prihoda za unos u SAP'!$K$3:$K$501,"=725")</f>
        <v>0</v>
      </c>
      <c r="F73" s="202">
        <f>SUMIFS('Plan prihoda za unos u SAP'!$H$3:$H$501,'Plan prihoda za unos u SAP'!$C$3:$C$501,"=31",'Plan prihoda za unos u SAP'!$K$3:$K$501,"=725")</f>
        <v>0</v>
      </c>
      <c r="G73" s="202">
        <f>SUMIFS('Plan prihoda za unos u SAP'!$H$3:$H$501,'Plan prihoda za unos u SAP'!$C$3:$C$501,"=41",'Plan prihoda za unos u SAP'!$K$3:$K$501,"=725")</f>
        <v>0</v>
      </c>
      <c r="H73" s="202">
        <f>SUMIFS('Plan prihoda za unos u SAP'!$H$3:$H$501,'Plan prihoda za unos u SAP'!$C$3:$C$501,"=43",'Plan prihoda za unos u SAP'!$K$3:$K$501,"=725")</f>
        <v>0</v>
      </c>
      <c r="I73" s="202">
        <f>SUMIFS('Plan prihoda za unos u SAP'!$H$3:$H$501,'Plan prihoda za unos u SAP'!$C$3:$C$501,"=51",'Plan prihoda za unos u SAP'!$K$3:$K$501,"=725")</f>
        <v>0</v>
      </c>
      <c r="J73" s="202">
        <f>SUMIFS('Plan prihoda za unos u SAP'!$H$3:$H$501,'Plan prihoda za unos u SAP'!$C$3:$C$501,"=52",'Plan prihoda za unos u SAP'!$K$3:$K$501,"=725")</f>
        <v>0</v>
      </c>
      <c r="K73" s="202">
        <f>SUMIFS('Plan prihoda za unos u SAP'!$H$3:$H$501,'Plan prihoda za unos u SAP'!$C$3:$C$501,"=552",'Plan prihoda za unos u SAP'!$K$3:$K$501,"=725")</f>
        <v>0</v>
      </c>
      <c r="L73" s="202">
        <f>SUMIFS('Plan prihoda za unos u SAP'!$H$3:$H$501,'Plan prihoda za unos u SAP'!$C$3:$C$501,"=559",'Plan prihoda za unos u SAP'!$K$3:$K$501,"=725")</f>
        <v>0</v>
      </c>
      <c r="M73" s="202">
        <f>SUMIFS('Plan prihoda za unos u SAP'!$H$3:$H$501,'Plan prihoda za unos u SAP'!$C$3:$C$501,"=561",'Plan prihoda za unos u SAP'!$K$3:$K$501,"=725")</f>
        <v>0</v>
      </c>
      <c r="N73" s="202">
        <f>SUMIFS('Plan prihoda za unos u SAP'!$H$3:$H$501,'Plan prihoda za unos u SAP'!$C$3:$C$501,"=563",'Plan prihoda za unos u SAP'!$K$3:$K$501,"=725")</f>
        <v>0</v>
      </c>
      <c r="O73" s="202">
        <f>SUMIFS('Plan prihoda za unos u SAP'!$H$3:$H$501,'Plan prihoda za unos u SAP'!$C$3:$C$501,"=573",'Plan prihoda za unos u SAP'!$K$3:$K$501,"=725")</f>
        <v>0</v>
      </c>
      <c r="P73" s="202">
        <f>SUMIFS('Plan prihoda za unos u SAP'!$H$3:$H$501,'Plan prihoda za unos u SAP'!$C$3:$C$501,"=575",'Plan prihoda za unos u SAP'!$K$3:$K$501,"=725")</f>
        <v>0</v>
      </c>
      <c r="Q73" s="202">
        <f>SUMIFS('Plan prihoda za unos u SAP'!$H$3:$H$501,'Plan prihoda za unos u SAP'!$C$3:$C$501,"=61",'Plan prihoda za unos u SAP'!$K$3:$K$501,"=725")</f>
        <v>0</v>
      </c>
      <c r="R73" s="202">
        <f>SUMIFS('Plan prihoda za unos u SAP'!$H$3:$H$501,'Plan prihoda za unos u SAP'!$C$3:$C$501,"=63",'Plan prihoda za unos u SAP'!$K$3:$K$501,"=725")</f>
        <v>0</v>
      </c>
      <c r="S73" s="202">
        <f>SUMIFS('Plan prihoda za unos u SAP'!$H$3:$H$501,'Plan prihoda za unos u SAP'!$C$3:$C$501,"=71",'Plan prihoda za unos u SAP'!$K$3:$K$501,"=725")</f>
        <v>0</v>
      </c>
      <c r="T73" s="202">
        <f>SUMIFS('Plan prihoda za unos u SAP'!$H$3:$H$501,'Plan prihoda za unos u SAP'!$C$3:$C$501,"=81",'Plan prihoda za unos u SAP'!$K$3:$K$501,"=725")</f>
        <v>0</v>
      </c>
      <c r="U73" s="202">
        <f>SUMIFS('Plan prihoda za unos u SAP'!$H$3:$H$501,'Plan prihoda za unos u SAP'!$C$3:$C$501,"=83",'Plan prihoda za unos u SAP'!$K$3:$K$501,"=725")</f>
        <v>0</v>
      </c>
    </row>
    <row r="74" spans="1:21" s="91" customFormat="1">
      <c r="A74" s="99" t="s">
        <v>335</v>
      </c>
      <c r="B74" s="100" t="s">
        <v>328</v>
      </c>
      <c r="C74" s="71">
        <f>SUM(D74:U74)</f>
        <v>1000</v>
      </c>
      <c r="D74" s="4">
        <f>SUM(D68:D73)</f>
        <v>0</v>
      </c>
      <c r="E74" s="4">
        <f t="shared" ref="E74:T74" si="45">SUM(E68:E73)</f>
        <v>0</v>
      </c>
      <c r="F74" s="4">
        <f t="shared" si="45"/>
        <v>0</v>
      </c>
      <c r="G74" s="4">
        <f t="shared" ref="G74" si="46">SUM(G68:G73)</f>
        <v>0</v>
      </c>
      <c r="H74" s="4">
        <f t="shared" si="45"/>
        <v>0</v>
      </c>
      <c r="I74" s="4">
        <f t="shared" si="45"/>
        <v>0</v>
      </c>
      <c r="J74" s="4">
        <f t="shared" si="45"/>
        <v>0</v>
      </c>
      <c r="K74" s="4">
        <f t="shared" ref="K74" si="47">SUM(K68:K73)</f>
        <v>0</v>
      </c>
      <c r="L74" s="4">
        <f t="shared" si="45"/>
        <v>0</v>
      </c>
      <c r="M74" s="4">
        <f t="shared" si="45"/>
        <v>0</v>
      </c>
      <c r="N74" s="4">
        <f t="shared" si="45"/>
        <v>0</v>
      </c>
      <c r="O74" s="4">
        <f t="shared" ref="O74:P74" si="48">SUM(O68:O73)</f>
        <v>0</v>
      </c>
      <c r="P74" s="4">
        <f t="shared" si="48"/>
        <v>0</v>
      </c>
      <c r="Q74" s="4">
        <f t="shared" si="45"/>
        <v>0</v>
      </c>
      <c r="R74" s="4">
        <f t="shared" si="45"/>
        <v>0</v>
      </c>
      <c r="S74" s="4">
        <f t="shared" si="45"/>
        <v>1000</v>
      </c>
      <c r="T74" s="4">
        <f t="shared" si="45"/>
        <v>0</v>
      </c>
      <c r="U74" s="4">
        <f t="shared" ref="U74" si="49">SUM(U68:U73)</f>
        <v>0</v>
      </c>
    </row>
    <row r="75" spans="1:21" s="91" customFormat="1" ht="25.5">
      <c r="A75" s="102">
        <v>812</v>
      </c>
      <c r="B75" s="103" t="s">
        <v>336</v>
      </c>
      <c r="C75" s="71">
        <f t="shared" si="27"/>
        <v>0</v>
      </c>
      <c r="D75" s="202">
        <f>SUMIFS('Plan prihoda za unos u SAP'!$H$3:$H$501,'Plan prihoda za unos u SAP'!$C$3:$C$501,"=11",'Plan prihoda za unos u SAP'!$K$3:$K$501,"=812")</f>
        <v>0</v>
      </c>
      <c r="E75" s="202">
        <f>SUMIFS('Plan prihoda za unos u SAP'!$H$3:$H$501,'Plan prihoda za unos u SAP'!$C$3:$C$501,"=12",'Plan prihoda za unos u SAP'!$K$3:$K$501,"=812")</f>
        <v>0</v>
      </c>
      <c r="F75" s="202">
        <f>SUMIFS('Plan prihoda za unos u SAP'!$H$3:$H$501,'Plan prihoda za unos u SAP'!$C$3:$C$501,"=31",'Plan prihoda za unos u SAP'!$K$3:$K$501,"=812")</f>
        <v>0</v>
      </c>
      <c r="G75" s="202">
        <f>SUMIFS('Plan prihoda za unos u SAP'!$H$3:$H$501,'Plan prihoda za unos u SAP'!$C$3:$C$501,"=41",'Plan prihoda za unos u SAP'!$K$3:$K$501,"=812")</f>
        <v>0</v>
      </c>
      <c r="H75" s="202">
        <f>SUMIFS('Plan prihoda za unos u SAP'!$H$3:$H$501,'Plan prihoda za unos u SAP'!$C$3:$C$501,"=43",'Plan prihoda za unos u SAP'!$K$3:$K$501,"=812")</f>
        <v>0</v>
      </c>
      <c r="I75" s="202">
        <f>SUMIFS('Plan prihoda za unos u SAP'!$H$3:$H$501,'Plan prihoda za unos u SAP'!$C$3:$C$501,"=51",'Plan prihoda za unos u SAP'!$K$3:$K$501,"=812")</f>
        <v>0</v>
      </c>
      <c r="J75" s="202">
        <f>SUMIFS('Plan prihoda za unos u SAP'!$H$3:$H$501,'Plan prihoda za unos u SAP'!$C$3:$C$501,"=52",'Plan prihoda za unos u SAP'!$K$3:$K$501,"=812")</f>
        <v>0</v>
      </c>
      <c r="K75" s="202">
        <f>SUMIFS('Plan prihoda za unos u SAP'!$H$3:$H$501,'Plan prihoda za unos u SAP'!$C$3:$C$501,"=552",'Plan prihoda za unos u SAP'!$K$3:$K$501,"=812")</f>
        <v>0</v>
      </c>
      <c r="L75" s="202">
        <f>SUMIFS('Plan prihoda za unos u SAP'!$H$3:$H$501,'Plan prihoda za unos u SAP'!$C$3:$C$501,"=559",'Plan prihoda za unos u SAP'!$K$3:$K$501,"=812")</f>
        <v>0</v>
      </c>
      <c r="M75" s="202">
        <f>SUMIFS('Plan prihoda za unos u SAP'!$H$3:$H$501,'Plan prihoda za unos u SAP'!$C$3:$C$501,"=561",'Plan prihoda za unos u SAP'!$K$3:$K$501,"=812")</f>
        <v>0</v>
      </c>
      <c r="N75" s="202">
        <f>SUMIFS('Plan prihoda za unos u SAP'!$H$3:$H$501,'Plan prihoda za unos u SAP'!$C$3:$C$501,"=563",'Plan prihoda za unos u SAP'!$K$3:$K$501,"=812")</f>
        <v>0</v>
      </c>
      <c r="O75" s="202">
        <f>SUMIFS('Plan prihoda za unos u SAP'!$H$3:$H$501,'Plan prihoda za unos u SAP'!$C$3:$C$501,"=573",'Plan prihoda za unos u SAP'!$K$3:$K$501,"=812")</f>
        <v>0</v>
      </c>
      <c r="P75" s="202">
        <f>SUMIFS('Plan prihoda za unos u SAP'!$H$3:$H$501,'Plan prihoda za unos u SAP'!$C$3:$C$501,"=575",'Plan prihoda za unos u SAP'!$K$3:$K$501,"=812")</f>
        <v>0</v>
      </c>
      <c r="Q75" s="202">
        <f>SUMIFS('Plan prihoda za unos u SAP'!$H$3:$H$501,'Plan prihoda za unos u SAP'!$C$3:$C$501,"=61",'Plan prihoda za unos u SAP'!$K$3:$K$501,"=812")</f>
        <v>0</v>
      </c>
      <c r="R75" s="202">
        <f>SUMIFS('Plan prihoda za unos u SAP'!$H$3:$H$501,'Plan prihoda za unos u SAP'!$C$3:$C$501,"=63",'Plan prihoda za unos u SAP'!$K$3:$K$501,"=812")</f>
        <v>0</v>
      </c>
      <c r="S75" s="202">
        <f>SUMIFS('Plan prihoda za unos u SAP'!$H$3:$H$501,'Plan prihoda za unos u SAP'!$C$3:$C$501,"=71",'Plan prihoda za unos u SAP'!$K$3:$K$501,"=812")</f>
        <v>0</v>
      </c>
      <c r="T75" s="202">
        <f>SUMIFS('Plan prihoda za unos u SAP'!$H$3:$H$501,'Plan prihoda za unos u SAP'!$C$3:$C$501,"=81",'Plan prihoda za unos u SAP'!$K$3:$K$501,"=812")</f>
        <v>0</v>
      </c>
      <c r="U75" s="202">
        <f>SUMIFS('Plan prihoda za unos u SAP'!$H$3:$H$501,'Plan prihoda za unos u SAP'!$C$3:$C$501,"=83",'Plan prihoda za unos u SAP'!$K$3:$K$501,"=812")</f>
        <v>0</v>
      </c>
    </row>
    <row r="76" spans="1:21" s="91" customFormat="1">
      <c r="A76" s="102">
        <v>818</v>
      </c>
      <c r="B76" s="103" t="s">
        <v>1674</v>
      </c>
      <c r="C76" s="71">
        <f t="shared" si="27"/>
        <v>0</v>
      </c>
      <c r="D76" s="202">
        <f>SUMIFS('Plan prihoda za unos u SAP'!$H$3:$H$501,'Plan prihoda za unos u SAP'!$C$3:$C$501,"=11",'Plan prihoda za unos u SAP'!$K$3:$K$501,"=818")</f>
        <v>0</v>
      </c>
      <c r="E76" s="202">
        <f>SUMIFS('Plan prihoda za unos u SAP'!$H$3:$H$501,'Plan prihoda za unos u SAP'!$C$3:$C$501,"=12",'Plan prihoda za unos u SAP'!$K$3:$K$501,"=818")</f>
        <v>0</v>
      </c>
      <c r="F76" s="202">
        <f>SUMIFS('Plan prihoda za unos u SAP'!$H$3:$H$501,'Plan prihoda za unos u SAP'!$C$3:$C$501,"=31",'Plan prihoda za unos u SAP'!$K$3:$K$501,"=818")</f>
        <v>0</v>
      </c>
      <c r="G76" s="202">
        <f>SUMIFS('Plan prihoda za unos u SAP'!$H$3:$H$501,'Plan prihoda za unos u SAP'!$C$3:$C$501,"=41",'Plan prihoda za unos u SAP'!$K$3:$K$501,"=818")</f>
        <v>0</v>
      </c>
      <c r="H76" s="202">
        <f>SUMIFS('Plan prihoda za unos u SAP'!$H$3:$H$501,'Plan prihoda za unos u SAP'!$C$3:$C$501,"=43",'Plan prihoda za unos u SAP'!$K$3:$K$501,"=818")</f>
        <v>0</v>
      </c>
      <c r="I76" s="202">
        <f>SUMIFS('Plan prihoda za unos u SAP'!$H$3:$H$501,'Plan prihoda za unos u SAP'!$C$3:$C$501,"=51",'Plan prihoda za unos u SAP'!$K$3:$K$501,"=818")</f>
        <v>0</v>
      </c>
      <c r="J76" s="202">
        <f>SUMIFS('Plan prihoda za unos u SAP'!$H$3:$H$501,'Plan prihoda za unos u SAP'!$C$3:$C$501,"=52",'Plan prihoda za unos u SAP'!$K$3:$K$501,"=818")</f>
        <v>0</v>
      </c>
      <c r="K76" s="202">
        <f>SUMIFS('Plan prihoda za unos u SAP'!$H$3:$H$501,'Plan prihoda za unos u SAP'!$C$3:$C$501,"=552",'Plan prihoda za unos u SAP'!$K$3:$K$501,"=818")</f>
        <v>0</v>
      </c>
      <c r="L76" s="202">
        <f>SUMIFS('Plan prihoda za unos u SAP'!$H$3:$H$501,'Plan prihoda za unos u SAP'!$C$3:$C$501,"=559",'Plan prihoda za unos u SAP'!$K$3:$K$501,"=818")</f>
        <v>0</v>
      </c>
      <c r="M76" s="202">
        <f>SUMIFS('Plan prihoda za unos u SAP'!$H$3:$H$501,'Plan prihoda za unos u SAP'!$C$3:$C$501,"=561",'Plan prihoda za unos u SAP'!$K$3:$K$501,"=818")</f>
        <v>0</v>
      </c>
      <c r="N76" s="202">
        <f>SUMIFS('Plan prihoda za unos u SAP'!$H$3:$H$501,'Plan prihoda za unos u SAP'!$C$3:$C$501,"=563",'Plan prihoda za unos u SAP'!$K$3:$K$501,"=818")</f>
        <v>0</v>
      </c>
      <c r="O76" s="202">
        <f>SUMIFS('Plan prihoda za unos u SAP'!$H$3:$H$501,'Plan prihoda za unos u SAP'!$C$3:$C$501,"=573",'Plan prihoda za unos u SAP'!$K$3:$K$501,"=818")</f>
        <v>0</v>
      </c>
      <c r="P76" s="202">
        <f>SUMIFS('Plan prihoda za unos u SAP'!$H$3:$H$501,'Plan prihoda za unos u SAP'!$C$3:$C$501,"=575",'Plan prihoda za unos u SAP'!$K$3:$K$501,"=818")</f>
        <v>0</v>
      </c>
      <c r="Q76" s="202">
        <f>SUMIFS('Plan prihoda za unos u SAP'!$H$3:$H$501,'Plan prihoda za unos u SAP'!$C$3:$C$501,"=61",'Plan prihoda za unos u SAP'!$K$3:$K$501,"=818")</f>
        <v>0</v>
      </c>
      <c r="R76" s="202">
        <f>SUMIFS('Plan prihoda za unos u SAP'!$H$3:$H$501,'Plan prihoda za unos u SAP'!$C$3:$C$501,"=63",'Plan prihoda za unos u SAP'!$K$3:$K$501,"=818")</f>
        <v>0</v>
      </c>
      <c r="S76" s="202">
        <f>SUMIFS('Plan prihoda za unos u SAP'!$H$3:$H$501,'Plan prihoda za unos u SAP'!$C$3:$C$501,"=71",'Plan prihoda za unos u SAP'!$K$3:$K$501,"=818")</f>
        <v>0</v>
      </c>
      <c r="T76" s="202">
        <f>SUMIFS('Plan prihoda za unos u SAP'!$H$3:$H$501,'Plan prihoda za unos u SAP'!$C$3:$C$501,"=81",'Plan prihoda za unos u SAP'!$K$3:$K$501,"=818")</f>
        <v>0</v>
      </c>
      <c r="U76" s="202">
        <f>SUMIFS('Plan prihoda za unos u SAP'!$H$3:$H$501,'Plan prihoda za unos u SAP'!$C$3:$C$501,"=83",'Plan prihoda za unos u SAP'!$K$3:$K$501,"=818")</f>
        <v>0</v>
      </c>
    </row>
    <row r="77" spans="1:21" s="91" customFormat="1">
      <c r="A77" s="102">
        <v>832</v>
      </c>
      <c r="B77" s="103" t="s">
        <v>1675</v>
      </c>
      <c r="C77" s="71">
        <f t="shared" si="27"/>
        <v>0</v>
      </c>
      <c r="D77" s="202">
        <f>SUMIFS('Plan prihoda za unos u SAP'!$H$3:$H$501,'Plan prihoda za unos u SAP'!$C$3:$C$501,"=11",'Plan prihoda za unos u SAP'!$K$3:$K$501,"=832")</f>
        <v>0</v>
      </c>
      <c r="E77" s="202">
        <f>SUMIFS('Plan prihoda za unos u SAP'!$H$3:$H$501,'Plan prihoda za unos u SAP'!$C$3:$C$501,"=12",'Plan prihoda za unos u SAP'!$K$3:$K$501,"=832")</f>
        <v>0</v>
      </c>
      <c r="F77" s="202">
        <f>SUMIFS('Plan prihoda za unos u SAP'!$H$3:$H$501,'Plan prihoda za unos u SAP'!$C$3:$C$501,"=31",'Plan prihoda za unos u SAP'!$K$3:$K$501,"=832")</f>
        <v>0</v>
      </c>
      <c r="G77" s="202">
        <f>SUMIFS('Plan prihoda za unos u SAP'!$H$3:$H$501,'Plan prihoda za unos u SAP'!$C$3:$C$501,"=41",'Plan prihoda za unos u SAP'!$K$3:$K$501,"=832")</f>
        <v>0</v>
      </c>
      <c r="H77" s="202">
        <f>SUMIFS('Plan prihoda za unos u SAP'!$H$3:$H$501,'Plan prihoda za unos u SAP'!$C$3:$C$501,"=43",'Plan prihoda za unos u SAP'!$K$3:$K$501,"=832")</f>
        <v>0</v>
      </c>
      <c r="I77" s="202">
        <f>SUMIFS('Plan prihoda za unos u SAP'!$H$3:$H$501,'Plan prihoda za unos u SAP'!$C$3:$C$501,"=51",'Plan prihoda za unos u SAP'!$K$3:$K$501,"=832")</f>
        <v>0</v>
      </c>
      <c r="J77" s="202">
        <f>SUMIFS('Plan prihoda za unos u SAP'!$H$3:$H$501,'Plan prihoda za unos u SAP'!$C$3:$C$501,"=52",'Plan prihoda za unos u SAP'!$K$3:$K$501,"=832")</f>
        <v>0</v>
      </c>
      <c r="K77" s="202">
        <f>SUMIFS('Plan prihoda za unos u SAP'!$H$3:$H$501,'Plan prihoda za unos u SAP'!$C$3:$C$501,"=552",'Plan prihoda za unos u SAP'!$K$3:$K$501,"=832")</f>
        <v>0</v>
      </c>
      <c r="L77" s="202">
        <f>SUMIFS('Plan prihoda za unos u SAP'!$H$3:$H$501,'Plan prihoda za unos u SAP'!$C$3:$C$501,"=559",'Plan prihoda za unos u SAP'!$K$3:$K$501,"=832")</f>
        <v>0</v>
      </c>
      <c r="M77" s="202">
        <f>SUMIFS('Plan prihoda za unos u SAP'!$H$3:$H$501,'Plan prihoda za unos u SAP'!$C$3:$C$501,"=561",'Plan prihoda za unos u SAP'!$K$3:$K$501,"=832")</f>
        <v>0</v>
      </c>
      <c r="N77" s="202">
        <f>SUMIFS('Plan prihoda za unos u SAP'!$H$3:$H$501,'Plan prihoda za unos u SAP'!$C$3:$C$501,"=563",'Plan prihoda za unos u SAP'!$K$3:$K$501,"=832")</f>
        <v>0</v>
      </c>
      <c r="O77" s="202">
        <f>SUMIFS('Plan prihoda za unos u SAP'!$H$3:$H$501,'Plan prihoda za unos u SAP'!$C$3:$C$501,"=573",'Plan prihoda za unos u SAP'!$K$3:$K$501,"=832")</f>
        <v>0</v>
      </c>
      <c r="P77" s="202">
        <f>SUMIFS('Plan prihoda za unos u SAP'!$H$3:$H$501,'Plan prihoda za unos u SAP'!$C$3:$C$501,"=575",'Plan prihoda za unos u SAP'!$K$3:$K$501,"=832")</f>
        <v>0</v>
      </c>
      <c r="Q77" s="202">
        <f>SUMIFS('Plan prihoda za unos u SAP'!$H$3:$H$501,'Plan prihoda za unos u SAP'!$C$3:$C$501,"=61",'Plan prihoda za unos u SAP'!$K$3:$K$501,"=832")</f>
        <v>0</v>
      </c>
      <c r="R77" s="202">
        <f>SUMIFS('Plan prihoda za unos u SAP'!$H$3:$H$501,'Plan prihoda za unos u SAP'!$C$3:$C$501,"=63",'Plan prihoda za unos u SAP'!$K$3:$K$501,"=832")</f>
        <v>0</v>
      </c>
      <c r="S77" s="202">
        <f>SUMIFS('Plan prihoda za unos u SAP'!$H$3:$H$501,'Plan prihoda za unos u SAP'!$C$3:$C$501,"=71",'Plan prihoda za unos u SAP'!$K$3:$K$501,"=832")</f>
        <v>0</v>
      </c>
      <c r="T77" s="202">
        <f>SUMIFS('Plan prihoda za unos u SAP'!$H$3:$H$501,'Plan prihoda za unos u SAP'!$C$3:$C$501,"=81",'Plan prihoda za unos u SAP'!$K$3:$K$501,"=832")</f>
        <v>0</v>
      </c>
      <c r="U77" s="202">
        <f>SUMIFS('Plan prihoda za unos u SAP'!$H$3:$H$501,'Plan prihoda za unos u SAP'!$C$3:$C$501,"=83",'Plan prihoda za unos u SAP'!$K$3:$K$501,"=832")</f>
        <v>0</v>
      </c>
    </row>
    <row r="78" spans="1:21" s="91" customFormat="1" ht="25.5">
      <c r="A78" s="102">
        <v>841</v>
      </c>
      <c r="B78" s="103" t="s">
        <v>1676</v>
      </c>
      <c r="C78" s="71">
        <f t="shared" si="27"/>
        <v>0</v>
      </c>
      <c r="D78" s="202">
        <f>SUMIFS('Plan prihoda za unos u SAP'!$H$3:$H$501,'Plan prihoda za unos u SAP'!$C$3:$C$501,"=11",'Plan prihoda za unos u SAP'!$K$3:$K$501,"=841")</f>
        <v>0</v>
      </c>
      <c r="E78" s="202">
        <f>SUMIFS('Plan prihoda za unos u SAP'!$H$3:$H$501,'Plan prihoda za unos u SAP'!$C$3:$C$501,"=12",'Plan prihoda za unos u SAP'!$K$3:$K$501,"=841")</f>
        <v>0</v>
      </c>
      <c r="F78" s="202">
        <f>SUMIFS('Plan prihoda za unos u SAP'!$H$3:$H$501,'Plan prihoda za unos u SAP'!$C$3:$C$501,"=31",'Plan prihoda za unos u SAP'!$K$3:$K$501,"=841")</f>
        <v>0</v>
      </c>
      <c r="G78" s="202">
        <f>SUMIFS('Plan prihoda za unos u SAP'!$H$3:$H$501,'Plan prihoda za unos u SAP'!$C$3:$C$501,"=41",'Plan prihoda za unos u SAP'!$K$3:$K$501,"=841")</f>
        <v>0</v>
      </c>
      <c r="H78" s="202">
        <f>SUMIFS('Plan prihoda za unos u SAP'!$H$3:$H$501,'Plan prihoda za unos u SAP'!$C$3:$C$501,"=43",'Plan prihoda za unos u SAP'!$K$3:$K$501,"=841")</f>
        <v>0</v>
      </c>
      <c r="I78" s="202">
        <f>SUMIFS('Plan prihoda za unos u SAP'!$H$3:$H$501,'Plan prihoda za unos u SAP'!$C$3:$C$501,"=51",'Plan prihoda za unos u SAP'!$K$3:$K$501,"=841")</f>
        <v>0</v>
      </c>
      <c r="J78" s="202">
        <f>SUMIFS('Plan prihoda za unos u SAP'!$H$3:$H$501,'Plan prihoda za unos u SAP'!$C$3:$C$501,"=52",'Plan prihoda za unos u SAP'!$K$3:$K$501,"=841")</f>
        <v>0</v>
      </c>
      <c r="K78" s="202">
        <f>SUMIFS('Plan prihoda za unos u SAP'!$H$3:$H$501,'Plan prihoda za unos u SAP'!$C$3:$C$501,"=552",'Plan prihoda za unos u SAP'!$K$3:$K$501,"=841")</f>
        <v>0</v>
      </c>
      <c r="L78" s="202">
        <f>SUMIFS('Plan prihoda za unos u SAP'!$H$3:$H$501,'Plan prihoda za unos u SAP'!$C$3:$C$501,"=559",'Plan prihoda za unos u SAP'!$K$3:$K$501,"=841")</f>
        <v>0</v>
      </c>
      <c r="M78" s="202">
        <f>SUMIFS('Plan prihoda za unos u SAP'!$H$3:$H$501,'Plan prihoda za unos u SAP'!$C$3:$C$501,"=561",'Plan prihoda za unos u SAP'!$K$3:$K$501,"=841")</f>
        <v>0</v>
      </c>
      <c r="N78" s="202">
        <f>SUMIFS('Plan prihoda za unos u SAP'!$H$3:$H$501,'Plan prihoda za unos u SAP'!$C$3:$C$501,"=563",'Plan prihoda za unos u SAP'!$K$3:$K$501,"=841")</f>
        <v>0</v>
      </c>
      <c r="O78" s="202">
        <f>SUMIFS('Plan prihoda za unos u SAP'!$H$3:$H$501,'Plan prihoda za unos u SAP'!$C$3:$C$501,"=573",'Plan prihoda za unos u SAP'!$K$3:$K$501,"=841")</f>
        <v>0</v>
      </c>
      <c r="P78" s="202">
        <f>SUMIFS('Plan prihoda za unos u SAP'!$H$3:$H$501,'Plan prihoda za unos u SAP'!$C$3:$C$501,"=575",'Plan prihoda za unos u SAP'!$K$3:$K$501,"=841")</f>
        <v>0</v>
      </c>
      <c r="Q78" s="202">
        <f>SUMIFS('Plan prihoda za unos u SAP'!$H$3:$H$501,'Plan prihoda za unos u SAP'!$C$3:$C$501,"=61",'Plan prihoda za unos u SAP'!$K$3:$K$501,"=841")</f>
        <v>0</v>
      </c>
      <c r="R78" s="202">
        <f>SUMIFS('Plan prihoda za unos u SAP'!$H$3:$H$501,'Plan prihoda za unos u SAP'!$C$3:$C$501,"=63",'Plan prihoda za unos u SAP'!$K$3:$K$501,"=841")</f>
        <v>0</v>
      </c>
      <c r="S78" s="202">
        <f>SUMIFS('Plan prihoda za unos u SAP'!$H$3:$H$501,'Plan prihoda za unos u SAP'!$C$3:$C$501,"=71",'Plan prihoda za unos u SAP'!$K$3:$K$501,"=841")</f>
        <v>0</v>
      </c>
      <c r="T78" s="202">
        <f>SUMIFS('Plan prihoda za unos u SAP'!$H$3:$H$501,'Plan prihoda za unos u SAP'!$C$3:$C$501,"=81",'Plan prihoda za unos u SAP'!$K$3:$K$501,"=841")</f>
        <v>0</v>
      </c>
      <c r="U78" s="202">
        <f>SUMIFS('Plan prihoda za unos u SAP'!$H$3:$H$501,'Plan prihoda za unos u SAP'!$C$3:$C$501,"=83",'Plan prihoda za unos u SAP'!$K$3:$K$501,"=841")</f>
        <v>0</v>
      </c>
    </row>
    <row r="79" spans="1:21" s="91" customFormat="1" ht="25.5">
      <c r="A79" s="102">
        <v>842</v>
      </c>
      <c r="B79" s="103" t="s">
        <v>346</v>
      </c>
      <c r="C79" s="71">
        <f>SUM(D79:U79)</f>
        <v>0</v>
      </c>
      <c r="D79" s="201">
        <f>SUMIFS('Plan prihoda za unos u SAP'!$H$3:$H$501,'Plan prihoda za unos u SAP'!$C$3:$C$501,"=11",'Plan prihoda za unos u SAP'!$K$3:$K$501,"=842")</f>
        <v>0</v>
      </c>
      <c r="E79" s="201">
        <f>SUMIFS('Plan prihoda za unos u SAP'!$H$3:$H$501,'Plan prihoda za unos u SAP'!$C$3:$C$501,"=12",'Plan prihoda za unos u SAP'!$K$3:$K$501,"=842")</f>
        <v>0</v>
      </c>
      <c r="F79" s="201">
        <f>SUMIFS('Plan prihoda za unos u SAP'!$H$3:$H$501,'Plan prihoda za unos u SAP'!$C$3:$C$501,"=31",'Plan prihoda za unos u SAP'!$K$3:$K$501,"=842")</f>
        <v>0</v>
      </c>
      <c r="G79" s="201">
        <f>SUMIFS('Plan prihoda za unos u SAP'!$H$3:$H$501,'Plan prihoda za unos u SAP'!$C$3:$C$501,"=41",'Plan prihoda za unos u SAP'!$K$3:$K$501,"=842")</f>
        <v>0</v>
      </c>
      <c r="H79" s="201">
        <f>SUMIFS('Plan prihoda za unos u SAP'!$H$3:$H$501,'Plan prihoda za unos u SAP'!$C$3:$C$501,"=43",'Plan prihoda za unos u SAP'!$K$3:$K$501,"=842")</f>
        <v>0</v>
      </c>
      <c r="I79" s="201">
        <f>SUMIFS('Plan prihoda za unos u SAP'!$H$3:$H$501,'Plan prihoda za unos u SAP'!$C$3:$C$501,"=51",'Plan prihoda za unos u SAP'!$K$3:$K$501,"=842")</f>
        <v>0</v>
      </c>
      <c r="J79" s="201">
        <f>SUMIFS('Plan prihoda za unos u SAP'!$H$3:$H$501,'Plan prihoda za unos u SAP'!$C$3:$C$501,"=52",'Plan prihoda za unos u SAP'!$K$3:$K$501,"=842")</f>
        <v>0</v>
      </c>
      <c r="K79" s="201">
        <f>SUMIFS('Plan prihoda za unos u SAP'!$H$3:$H$501,'Plan prihoda za unos u SAP'!$C$3:$C$501,"=552",'Plan prihoda za unos u SAP'!$K$3:$K$501,"=842")</f>
        <v>0</v>
      </c>
      <c r="L79" s="201">
        <f>SUMIFS('Plan prihoda za unos u SAP'!$H$3:$H$501,'Plan prihoda za unos u SAP'!$C$3:$C$501,"=559",'Plan prihoda za unos u SAP'!$K$3:$K$501,"=842")</f>
        <v>0</v>
      </c>
      <c r="M79" s="201">
        <f>SUMIFS('Plan prihoda za unos u SAP'!$H$3:$H$501,'Plan prihoda za unos u SAP'!$C$3:$C$501,"=561",'Plan prihoda za unos u SAP'!$K$3:$K$501,"=842")</f>
        <v>0</v>
      </c>
      <c r="N79" s="201">
        <f>SUMIFS('Plan prihoda za unos u SAP'!$H$3:$H$501,'Plan prihoda za unos u SAP'!$C$3:$C$501,"=563",'Plan prihoda za unos u SAP'!$K$3:$K$501,"=842")</f>
        <v>0</v>
      </c>
      <c r="O79" s="201">
        <f>SUMIFS('Plan prihoda za unos u SAP'!$H$3:$H$501,'Plan prihoda za unos u SAP'!$C$3:$C$501,"=573",'Plan prihoda za unos u SAP'!$K$3:$K$501,"=842")</f>
        <v>0</v>
      </c>
      <c r="P79" s="201">
        <f>SUMIFS('Plan prihoda za unos u SAP'!$H$3:$H$501,'Plan prihoda za unos u SAP'!$C$3:$C$501,"=575",'Plan prihoda za unos u SAP'!$K$3:$K$501,"=842")</f>
        <v>0</v>
      </c>
      <c r="Q79" s="201">
        <f>SUMIFS('Plan prihoda za unos u SAP'!$H$3:$H$501,'Plan prihoda za unos u SAP'!$C$3:$C$501,"=61",'Plan prihoda za unos u SAP'!$K$3:$K$501,"=842")</f>
        <v>0</v>
      </c>
      <c r="R79" s="201">
        <f>SUMIFS('Plan prihoda za unos u SAP'!$H$3:$H$501,'Plan prihoda za unos u SAP'!$C$3:$C$501,"=63",'Plan prihoda za unos u SAP'!$K$3:$K$501,"=842")</f>
        <v>0</v>
      </c>
      <c r="S79" s="201">
        <f>SUMIFS('Plan prihoda za unos u SAP'!$H$3:$H$501,'Plan prihoda za unos u SAP'!$C$3:$C$501,"=71",'Plan prihoda za unos u SAP'!$K$3:$K$501,"=842")</f>
        <v>0</v>
      </c>
      <c r="T79" s="201">
        <f>SUMIFS('Plan prihoda za unos u SAP'!$H$3:$H$501,'Plan prihoda za unos u SAP'!$C$3:$C$501,"=81",'Plan prihoda za unos u SAP'!$K$3:$K$501,"=842")</f>
        <v>0</v>
      </c>
      <c r="U79" s="201">
        <f>SUMIFS('Plan prihoda za unos u SAP'!$H$3:$H$501,'Plan prihoda za unos u SAP'!$C$3:$C$501,"=83",'Plan prihoda za unos u SAP'!$K$3:$K$501,"=842")</f>
        <v>0</v>
      </c>
    </row>
    <row r="80" spans="1:21" s="91" customFormat="1">
      <c r="A80" s="99" t="s">
        <v>337</v>
      </c>
      <c r="B80" s="100" t="s">
        <v>328</v>
      </c>
      <c r="C80" s="71">
        <f>SUM(D80:U80)</f>
        <v>0</v>
      </c>
      <c r="D80" s="4">
        <f>SUM(D75:D79)</f>
        <v>0</v>
      </c>
      <c r="E80" s="4">
        <f>SUM(E75:E79)</f>
        <v>0</v>
      </c>
      <c r="F80" s="4">
        <f t="shared" ref="F80:T80" si="50">SUM(F75:F79)</f>
        <v>0</v>
      </c>
      <c r="G80" s="4">
        <f t="shared" ref="G80" si="51">SUM(G75:G79)</f>
        <v>0</v>
      </c>
      <c r="H80" s="4">
        <f t="shared" si="50"/>
        <v>0</v>
      </c>
      <c r="I80" s="4">
        <f>SUM(I75:I79)</f>
        <v>0</v>
      </c>
      <c r="J80" s="4">
        <f t="shared" si="50"/>
        <v>0</v>
      </c>
      <c r="K80" s="4">
        <f t="shared" ref="K80" si="52">SUM(K75:K79)</f>
        <v>0</v>
      </c>
      <c r="L80" s="4">
        <f t="shared" si="50"/>
        <v>0</v>
      </c>
      <c r="M80" s="4">
        <f t="shared" si="50"/>
        <v>0</v>
      </c>
      <c r="N80" s="4">
        <f>SUM(N75:N79)</f>
        <v>0</v>
      </c>
      <c r="O80" s="4">
        <f t="shared" ref="O80:P80" si="53">SUM(O75:O79)</f>
        <v>0</v>
      </c>
      <c r="P80" s="4">
        <f t="shared" si="53"/>
        <v>0</v>
      </c>
      <c r="Q80" s="4">
        <f t="shared" si="50"/>
        <v>0</v>
      </c>
      <c r="R80" s="4">
        <f t="shared" si="50"/>
        <v>0</v>
      </c>
      <c r="S80" s="4">
        <f t="shared" si="50"/>
        <v>0</v>
      </c>
      <c r="T80" s="4">
        <f t="shared" si="50"/>
        <v>0</v>
      </c>
      <c r="U80" s="4">
        <f t="shared" ref="U80" si="54">SUM(U75:U79)</f>
        <v>0</v>
      </c>
    </row>
    <row r="81" spans="1:27" s="91" customFormat="1">
      <c r="A81" s="279" t="s">
        <v>338</v>
      </c>
      <c r="B81" s="279"/>
      <c r="C81" s="72">
        <f>SUM(D81:U81)</f>
        <v>107065698</v>
      </c>
      <c r="D81" s="72">
        <f t="shared" ref="D81:T81" si="55">+D80+D74+D67</f>
        <v>64475723</v>
      </c>
      <c r="E81" s="72">
        <f t="shared" si="55"/>
        <v>4998847</v>
      </c>
      <c r="F81" s="72">
        <f t="shared" si="55"/>
        <v>3073000</v>
      </c>
      <c r="G81" s="72">
        <f t="shared" ref="G81" si="56">+G80+G74+G67</f>
        <v>0</v>
      </c>
      <c r="H81" s="72">
        <f t="shared" si="55"/>
        <v>1170000</v>
      </c>
      <c r="I81" s="72">
        <f t="shared" si="55"/>
        <v>0</v>
      </c>
      <c r="J81" s="72">
        <f t="shared" si="55"/>
        <v>20313</v>
      </c>
      <c r="K81" s="72">
        <f t="shared" ref="K81" si="57">+K80+K74+K67</f>
        <v>0</v>
      </c>
      <c r="L81" s="72">
        <f>+L80+L74+L67</f>
        <v>0</v>
      </c>
      <c r="M81" s="72">
        <f t="shared" si="55"/>
        <v>28326815</v>
      </c>
      <c r="N81" s="72">
        <f t="shared" si="55"/>
        <v>0</v>
      </c>
      <c r="O81" s="72">
        <f t="shared" ref="O81:P81" si="58">+O80+O74+O67</f>
        <v>0</v>
      </c>
      <c r="P81" s="72">
        <f t="shared" si="58"/>
        <v>0</v>
      </c>
      <c r="Q81" s="72">
        <f t="shared" si="55"/>
        <v>5000000</v>
      </c>
      <c r="R81" s="72">
        <f t="shared" si="55"/>
        <v>0</v>
      </c>
      <c r="S81" s="72">
        <f t="shared" si="55"/>
        <v>1000</v>
      </c>
      <c r="T81" s="72">
        <f t="shared" si="55"/>
        <v>0</v>
      </c>
      <c r="U81" s="72">
        <f t="shared" ref="U81" si="59">+U80+U74+U67</f>
        <v>0</v>
      </c>
    </row>
    <row r="82" spans="1:27">
      <c r="A82" s="63"/>
      <c r="B82" s="63"/>
      <c r="C82" s="63"/>
      <c r="D82" s="63"/>
      <c r="E82" s="63"/>
      <c r="F82" s="63"/>
      <c r="G82" s="63"/>
      <c r="H82" s="104"/>
      <c r="I82" s="105"/>
      <c r="J82" s="105"/>
      <c r="K82" s="105"/>
      <c r="L82" s="105"/>
      <c r="M82" s="105"/>
      <c r="N82" s="105"/>
      <c r="O82" s="105"/>
      <c r="P82" s="105"/>
      <c r="T82" s="92"/>
      <c r="U82" s="92"/>
    </row>
    <row r="83" spans="1:27" s="91" customFormat="1" ht="15.75">
      <c r="A83" s="274" t="s">
        <v>291</v>
      </c>
      <c r="B83" s="275"/>
      <c r="C83" s="276" t="s">
        <v>839</v>
      </c>
      <c r="D83" s="277"/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8"/>
      <c r="U83" s="250"/>
    </row>
    <row r="84" spans="1:27" s="91" customFormat="1" ht="89.25">
      <c r="A84" s="93" t="s">
        <v>292</v>
      </c>
      <c r="B84" s="93" t="s">
        <v>293</v>
      </c>
      <c r="C84" s="195" t="s">
        <v>294</v>
      </c>
      <c r="D84" s="136" t="s">
        <v>375</v>
      </c>
      <c r="E84" s="136" t="s">
        <v>347</v>
      </c>
      <c r="F84" s="94" t="s">
        <v>19</v>
      </c>
      <c r="G84" s="94" t="s">
        <v>1667</v>
      </c>
      <c r="H84" s="94" t="s">
        <v>20</v>
      </c>
      <c r="I84" s="94" t="s">
        <v>295</v>
      </c>
      <c r="J84" s="94" t="s">
        <v>296</v>
      </c>
      <c r="K84" s="94" t="s">
        <v>1668</v>
      </c>
      <c r="L84" s="94" t="s">
        <v>297</v>
      </c>
      <c r="M84" s="135" t="s">
        <v>298</v>
      </c>
      <c r="N84" s="135" t="s">
        <v>299</v>
      </c>
      <c r="O84" s="135" t="s">
        <v>1669</v>
      </c>
      <c r="P84" s="135" t="s">
        <v>1670</v>
      </c>
      <c r="Q84" s="94" t="s">
        <v>300</v>
      </c>
      <c r="R84" s="94" t="s">
        <v>301</v>
      </c>
      <c r="S84" s="94" t="s">
        <v>339</v>
      </c>
      <c r="T84" s="94" t="s">
        <v>1638</v>
      </c>
      <c r="U84" s="94"/>
    </row>
    <row r="85" spans="1:27" s="91" customFormat="1">
      <c r="A85" s="96"/>
      <c r="B85" s="97" t="s">
        <v>11</v>
      </c>
      <c r="C85" s="71">
        <f>SUM(D85:U85)</f>
        <v>0</v>
      </c>
      <c r="D85" s="201">
        <f t="shared" ref="D85:T85" si="60">-D47</f>
        <v>0</v>
      </c>
      <c r="E85" s="201">
        <f t="shared" si="60"/>
        <v>0</v>
      </c>
      <c r="F85" s="201">
        <f t="shared" si="60"/>
        <v>0</v>
      </c>
      <c r="G85" s="201">
        <f t="shared" ref="G85" si="61">-G47</f>
        <v>0</v>
      </c>
      <c r="H85" s="201">
        <f t="shared" si="60"/>
        <v>0</v>
      </c>
      <c r="I85" s="201">
        <f t="shared" si="60"/>
        <v>0</v>
      </c>
      <c r="J85" s="201">
        <f t="shared" si="60"/>
        <v>0</v>
      </c>
      <c r="K85" s="201">
        <f t="shared" ref="K85" si="62">-K47</f>
        <v>0</v>
      </c>
      <c r="L85" s="201">
        <f t="shared" si="60"/>
        <v>0</v>
      </c>
      <c r="M85" s="201">
        <f t="shared" si="60"/>
        <v>0</v>
      </c>
      <c r="N85" s="201">
        <f t="shared" si="60"/>
        <v>0</v>
      </c>
      <c r="O85" s="201">
        <f t="shared" ref="O85:P85" si="63">-O47</f>
        <v>0</v>
      </c>
      <c r="P85" s="201">
        <f t="shared" si="63"/>
        <v>0</v>
      </c>
      <c r="Q85" s="201">
        <f t="shared" si="60"/>
        <v>0</v>
      </c>
      <c r="R85" s="201">
        <f t="shared" si="60"/>
        <v>0</v>
      </c>
      <c r="S85" s="201">
        <f t="shared" si="60"/>
        <v>0</v>
      </c>
      <c r="T85" s="201">
        <f t="shared" si="60"/>
        <v>0</v>
      </c>
      <c r="U85" s="201">
        <f t="shared" ref="U85" si="64">-U47</f>
        <v>0</v>
      </c>
      <c r="V85" s="95"/>
      <c r="W85" s="95"/>
      <c r="X85" s="95"/>
      <c r="Y85" s="95"/>
      <c r="Z85" s="95"/>
      <c r="AA85" s="95"/>
    </row>
    <row r="86" spans="1:27" s="91" customFormat="1">
      <c r="A86" s="115"/>
      <c r="B86" s="116" t="s">
        <v>371</v>
      </c>
      <c r="C86" s="71">
        <f t="shared" ref="C86:C120" si="65">SUM(D86:U86)</f>
        <v>107770540</v>
      </c>
      <c r="D86" s="15">
        <f t="shared" ref="D86:T86" si="66">+D107+D114</f>
        <v>64944270</v>
      </c>
      <c r="E86" s="15">
        <f t="shared" si="66"/>
        <v>5037338</v>
      </c>
      <c r="F86" s="15">
        <f t="shared" si="66"/>
        <v>3073000</v>
      </c>
      <c r="G86" s="15">
        <f t="shared" ref="G86" si="67">+G107+G114</f>
        <v>0</v>
      </c>
      <c r="H86" s="15">
        <f t="shared" si="66"/>
        <v>1170000</v>
      </c>
      <c r="I86" s="15">
        <f t="shared" si="66"/>
        <v>0</v>
      </c>
      <c r="J86" s="15">
        <f t="shared" si="66"/>
        <v>0</v>
      </c>
      <c r="K86" s="15">
        <f t="shared" ref="K86" si="68">+K107+K114</f>
        <v>0</v>
      </c>
      <c r="L86" s="15">
        <f t="shared" si="66"/>
        <v>0</v>
      </c>
      <c r="M86" s="15">
        <f t="shared" si="66"/>
        <v>28544932</v>
      </c>
      <c r="N86" s="15">
        <f t="shared" si="66"/>
        <v>0</v>
      </c>
      <c r="O86" s="15">
        <f t="shared" ref="O86:P86" si="69">+O107+O114</f>
        <v>0</v>
      </c>
      <c r="P86" s="15">
        <f t="shared" si="69"/>
        <v>0</v>
      </c>
      <c r="Q86" s="15">
        <f t="shared" si="66"/>
        <v>5000000</v>
      </c>
      <c r="R86" s="15">
        <f t="shared" si="66"/>
        <v>0</v>
      </c>
      <c r="S86" s="15">
        <f t="shared" si="66"/>
        <v>1000</v>
      </c>
      <c r="T86" s="15">
        <f t="shared" si="66"/>
        <v>0</v>
      </c>
      <c r="U86" s="15">
        <f t="shared" ref="U86" si="70">+U107+U114</f>
        <v>0</v>
      </c>
    </row>
    <row r="87" spans="1:27" s="91" customFormat="1">
      <c r="A87" s="96"/>
      <c r="B87" s="97" t="s">
        <v>374</v>
      </c>
      <c r="C87" s="71">
        <f t="shared" si="65"/>
        <v>0</v>
      </c>
      <c r="D87" s="114"/>
      <c r="E87" s="114"/>
      <c r="F87" s="114"/>
      <c r="G87" s="114"/>
      <c r="H87" s="114"/>
      <c r="I87" s="114"/>
      <c r="J87" s="114"/>
      <c r="K87" s="114"/>
      <c r="L87" s="3"/>
      <c r="M87" s="114"/>
      <c r="N87" s="114"/>
      <c r="O87" s="114"/>
      <c r="P87" s="114"/>
      <c r="Q87" s="114"/>
      <c r="R87" s="114"/>
      <c r="S87" s="114"/>
      <c r="T87" s="114"/>
      <c r="U87" s="114"/>
      <c r="V87" s="95"/>
      <c r="W87" s="95"/>
      <c r="X87" s="95"/>
      <c r="Y87" s="95"/>
      <c r="Z87" s="95"/>
      <c r="AA87" s="95"/>
    </row>
    <row r="88" spans="1:27" s="91" customFormat="1">
      <c r="A88" s="115"/>
      <c r="B88" s="116" t="s">
        <v>302</v>
      </c>
      <c r="C88" s="71">
        <f t="shared" si="65"/>
        <v>107770540</v>
      </c>
      <c r="D88" s="15">
        <f>+D85+D86+D87</f>
        <v>64944270</v>
      </c>
      <c r="E88" s="15">
        <f t="shared" ref="E88:T88" si="71">+E85+E86+E87</f>
        <v>5037338</v>
      </c>
      <c r="F88" s="15">
        <f t="shared" si="71"/>
        <v>3073000</v>
      </c>
      <c r="G88" s="15">
        <f t="shared" ref="G88" si="72">+G85+G86+G87</f>
        <v>0</v>
      </c>
      <c r="H88" s="15">
        <f t="shared" si="71"/>
        <v>1170000</v>
      </c>
      <c r="I88" s="15">
        <f t="shared" si="71"/>
        <v>0</v>
      </c>
      <c r="J88" s="15">
        <f t="shared" si="71"/>
        <v>0</v>
      </c>
      <c r="K88" s="15">
        <f t="shared" ref="K88" si="73">+K85+K86+K87</f>
        <v>0</v>
      </c>
      <c r="L88" s="15">
        <f t="shared" si="71"/>
        <v>0</v>
      </c>
      <c r="M88" s="15">
        <f t="shared" si="71"/>
        <v>28544932</v>
      </c>
      <c r="N88" s="15">
        <f t="shared" si="71"/>
        <v>0</v>
      </c>
      <c r="O88" s="15">
        <f t="shared" ref="O88:P88" si="74">+O85+O86+O87</f>
        <v>0</v>
      </c>
      <c r="P88" s="15">
        <f t="shared" si="74"/>
        <v>0</v>
      </c>
      <c r="Q88" s="15">
        <f t="shared" si="71"/>
        <v>5000000</v>
      </c>
      <c r="R88" s="15">
        <f t="shared" si="71"/>
        <v>0</v>
      </c>
      <c r="S88" s="15">
        <f t="shared" si="71"/>
        <v>1000</v>
      </c>
      <c r="T88" s="15">
        <f t="shared" si="71"/>
        <v>0</v>
      </c>
      <c r="U88" s="15">
        <f t="shared" ref="U88" si="75">+U85+U86+U87</f>
        <v>0</v>
      </c>
    </row>
    <row r="89" spans="1:27" s="91" customFormat="1">
      <c r="A89" s="112"/>
      <c r="B89" s="113" t="s">
        <v>249</v>
      </c>
      <c r="C89" s="71">
        <f t="shared" si="65"/>
        <v>112770540</v>
      </c>
      <c r="D89" s="137">
        <f>+'PLAN RASHODA I IZDATAKA'!D91</f>
        <v>64944270</v>
      </c>
      <c r="E89" s="137">
        <f>+'PLAN RASHODA I IZDATAKA'!E91</f>
        <v>5037338</v>
      </c>
      <c r="F89" s="137">
        <f>+'PLAN RASHODA I IZDATAKA'!F91</f>
        <v>3073000</v>
      </c>
      <c r="G89" s="137">
        <f>+'PLAN RASHODA I IZDATAKA'!G91</f>
        <v>0</v>
      </c>
      <c r="H89" s="137">
        <f>+'PLAN RASHODA I IZDATAKA'!H91</f>
        <v>1170000</v>
      </c>
      <c r="I89" s="137">
        <f>+'PLAN RASHODA I IZDATAKA'!I91</f>
        <v>0</v>
      </c>
      <c r="J89" s="137">
        <f>+'PLAN RASHODA I IZDATAKA'!J91</f>
        <v>0</v>
      </c>
      <c r="K89" s="137">
        <f>+'PLAN RASHODA I IZDATAKA'!K91</f>
        <v>0</v>
      </c>
      <c r="L89" s="137">
        <f>+'PLAN RASHODA I IZDATAKA'!L91</f>
        <v>0</v>
      </c>
      <c r="M89" s="137">
        <f>+'PLAN RASHODA I IZDATAKA'!M91</f>
        <v>28544932</v>
      </c>
      <c r="N89" s="137">
        <f>+'PLAN RASHODA I IZDATAKA'!N91</f>
        <v>0</v>
      </c>
      <c r="O89" s="137">
        <f>+'PLAN RASHODA I IZDATAKA'!O91</f>
        <v>0</v>
      </c>
      <c r="P89" s="137">
        <f>+'PLAN RASHODA I IZDATAKA'!Q91</f>
        <v>5000000</v>
      </c>
      <c r="Q89" s="137">
        <f>+'PLAN RASHODA I IZDATAKA'!Q91</f>
        <v>5000000</v>
      </c>
      <c r="R89" s="137">
        <f>+'PLAN RASHODA I IZDATAKA'!R91</f>
        <v>0</v>
      </c>
      <c r="S89" s="137">
        <f>+'PLAN RASHODA I IZDATAKA'!S91</f>
        <v>1000</v>
      </c>
      <c r="T89" s="137">
        <f>+'PLAN RASHODA I IZDATAKA'!T91</f>
        <v>0</v>
      </c>
      <c r="U89" s="137">
        <f>+'PLAN RASHODA I IZDATAKA'!U91</f>
        <v>0</v>
      </c>
      <c r="V89" s="95"/>
      <c r="W89" s="95"/>
      <c r="X89" s="95"/>
      <c r="Y89" s="95"/>
      <c r="Z89" s="95"/>
      <c r="AA89" s="95"/>
    </row>
    <row r="90" spans="1:27" s="91" customFormat="1" ht="13.5" thickBot="1">
      <c r="A90" s="117"/>
      <c r="B90" s="118" t="s">
        <v>373</v>
      </c>
      <c r="C90" s="70">
        <f>SUM(D90:U90)</f>
        <v>-5000000</v>
      </c>
      <c r="D90" s="119">
        <f>+D88-D89</f>
        <v>0</v>
      </c>
      <c r="E90" s="119">
        <f t="shared" ref="E90:T90" si="76">+E88-E89</f>
        <v>0</v>
      </c>
      <c r="F90" s="119">
        <f t="shared" si="76"/>
        <v>0</v>
      </c>
      <c r="G90" s="119">
        <f t="shared" ref="G90" si="77">+G88-G89</f>
        <v>0</v>
      </c>
      <c r="H90" s="119">
        <f t="shared" si="76"/>
        <v>0</v>
      </c>
      <c r="I90" s="119">
        <f t="shared" si="76"/>
        <v>0</v>
      </c>
      <c r="J90" s="119">
        <f t="shared" si="76"/>
        <v>0</v>
      </c>
      <c r="K90" s="119">
        <f t="shared" ref="K90" si="78">+K88-K89</f>
        <v>0</v>
      </c>
      <c r="L90" s="119">
        <f t="shared" si="76"/>
        <v>0</v>
      </c>
      <c r="M90" s="119">
        <f t="shared" si="76"/>
        <v>0</v>
      </c>
      <c r="N90" s="119">
        <f t="shared" si="76"/>
        <v>0</v>
      </c>
      <c r="O90" s="119">
        <f t="shared" ref="O90:P90" si="79">+O88-O89</f>
        <v>0</v>
      </c>
      <c r="P90" s="119">
        <f t="shared" si="79"/>
        <v>-5000000</v>
      </c>
      <c r="Q90" s="119">
        <f t="shared" si="76"/>
        <v>0</v>
      </c>
      <c r="R90" s="119">
        <f t="shared" si="76"/>
        <v>0</v>
      </c>
      <c r="S90" s="119">
        <f t="shared" si="76"/>
        <v>0</v>
      </c>
      <c r="T90" s="119">
        <f t="shared" si="76"/>
        <v>0</v>
      </c>
      <c r="U90" s="119">
        <f t="shared" ref="U90" si="80">+U88-U89</f>
        <v>0</v>
      </c>
    </row>
    <row r="91" spans="1:27" s="91" customFormat="1">
      <c r="A91" s="98" t="s">
        <v>1672</v>
      </c>
      <c r="B91" s="111" t="s">
        <v>1673</v>
      </c>
      <c r="C91" s="71">
        <f>SUM(D91:U91)</f>
        <v>0</v>
      </c>
      <c r="D91" s="202">
        <f>SUMIFS('Plan prihoda za unos u SAP'!$I$3:$I$501,'Plan prihoda za unos u SAP'!$C$3:$C$501,"=11",'Plan prihoda za unos u SAP'!$K$3:$K$501,"=614")</f>
        <v>0</v>
      </c>
      <c r="E91" s="202">
        <f>SUMIFS('Plan prihoda za unos u SAP'!$I$3:$I$501,'Plan prihoda za unos u SAP'!$C$3:$C$501,"=12",'Plan prihoda za unos u SAP'!$K$3:$K$501,"=614")</f>
        <v>0</v>
      </c>
      <c r="F91" s="202">
        <f>SUMIFS('Plan prihoda za unos u SAP'!$I$3:$I$501,'Plan prihoda za unos u SAP'!$C$3:$C$501,"=31",'Plan prihoda za unos u SAP'!$K$3:$K$501,"=614")</f>
        <v>0</v>
      </c>
      <c r="G91" s="202">
        <f>SUMIFS('Plan prihoda za unos u SAP'!$I$3:$I$501,'Plan prihoda za unos u SAP'!$C$3:$C$501,"=41",'Plan prihoda za unos u SAP'!$K$3:$K$501,"=614")</f>
        <v>0</v>
      </c>
      <c r="H91" s="202">
        <f>SUMIFS('Plan prihoda za unos u SAP'!$I$3:$I$501,'Plan prihoda za unos u SAP'!$C$3:$C$501,"=43",'Plan prihoda za unos u SAP'!$K$3:$K$501,"=614")</f>
        <v>0</v>
      </c>
      <c r="I91" s="202">
        <f>SUMIFS('Plan prihoda za unos u SAP'!$I$3:$I$501,'Plan prihoda za unos u SAP'!$C$3:$C$501,"=51",'Plan prihoda za unos u SAP'!$K$3:$K$501,"=614")</f>
        <v>0</v>
      </c>
      <c r="J91" s="202">
        <f>SUMIFS('Plan prihoda za unos u SAP'!$I$3:$I$501,'Plan prihoda za unos u SAP'!$C$3:$C$501,"=52",'Plan prihoda za unos u SAP'!$K$3:$K$501,"=614")</f>
        <v>0</v>
      </c>
      <c r="K91" s="202">
        <f>SUMIFS('Plan prihoda za unos u SAP'!$I$3:$I$501,'Plan prihoda za unos u SAP'!$C$3:$C$501,"=552",'Plan prihoda za unos u SAP'!$K$3:$K$501,"=614")</f>
        <v>0</v>
      </c>
      <c r="L91" s="202">
        <f>SUMIFS('Plan prihoda za unos u SAP'!$I$3:$I$501,'Plan prihoda za unos u SAP'!$C$3:$C$501,"=559",'Plan prihoda za unos u SAP'!$K$3:$K$501,"=614")</f>
        <v>0</v>
      </c>
      <c r="M91" s="202">
        <f>SUMIFS('Plan prihoda za unos u SAP'!$I$3:$I$501,'Plan prihoda za unos u SAP'!$C$3:$C$501,"=561",'Plan prihoda za unos u SAP'!$K$3:$K$501,"=614")</f>
        <v>0</v>
      </c>
      <c r="N91" s="202">
        <f>SUMIFS('Plan prihoda za unos u SAP'!$I$3:$I$501,'Plan prihoda za unos u SAP'!$C$3:$C$501,"=563",'Plan prihoda za unos u SAP'!$K$3:$K$501,"=614")</f>
        <v>0</v>
      </c>
      <c r="O91" s="202">
        <f>SUMIFS('Plan prihoda za unos u SAP'!$I$3:$I$501,'Plan prihoda za unos u SAP'!$C$3:$C$501,"=573",'Plan prihoda za unos u SAP'!$K$3:$K$501,"=614")</f>
        <v>0</v>
      </c>
      <c r="P91" s="202">
        <f>SUMIFS('Plan prihoda za unos u SAP'!$I$3:$I$501,'Plan prihoda za unos u SAP'!$C$3:$C$501,"=575",'Plan prihoda za unos u SAP'!$K$3:$K$501,"=614")</f>
        <v>0</v>
      </c>
      <c r="Q91" s="202">
        <f>SUMIFS('Plan prihoda za unos u SAP'!$I$3:$I$501,'Plan prihoda za unos u SAP'!$C$3:$C$501,"=61",'Plan prihoda za unos u SAP'!$K$3:$K$501,"=614")</f>
        <v>0</v>
      </c>
      <c r="R91" s="202">
        <f>SUMIFS('Plan prihoda za unos u SAP'!$I$3:$I$501,'Plan prihoda za unos u SAP'!$C$3:$C$501,"=63",'Plan prihoda za unos u SAP'!$K$3:$K$501,"=614")</f>
        <v>0</v>
      </c>
      <c r="S91" s="202">
        <f>SUMIFS('Plan prihoda za unos u SAP'!$I$3:$I$501,'Plan prihoda za unos u SAP'!$C$3:$C$501,"=71",'Plan prihoda za unos u SAP'!$K$3:$K$501,"=614")</f>
        <v>0</v>
      </c>
      <c r="T91" s="202">
        <f>SUMIFS('Plan prihoda za unos u SAP'!$I$3:$I$501,'Plan prihoda za unos u SAP'!$C$3:$C$501,"=81",'Plan prihoda za unos u SAP'!$K$3:$K$501,"=614")</f>
        <v>0</v>
      </c>
      <c r="U91" s="202">
        <f>SUMIFS('Plan prihoda za unos u SAP'!$I$3:$I$501,'Plan prihoda za unos u SAP'!$C$3:$C$501,"=83",'Plan prihoda za unos u SAP'!$K$3:$K$501,"=614")</f>
        <v>0</v>
      </c>
    </row>
    <row r="92" spans="1:27" s="91" customFormat="1">
      <c r="A92" s="98" t="s">
        <v>303</v>
      </c>
      <c r="B92" s="97" t="s">
        <v>304</v>
      </c>
      <c r="C92" s="71">
        <f t="shared" si="65"/>
        <v>0</v>
      </c>
      <c r="D92" s="202">
        <f>SUMIFS('Plan prihoda za unos u SAP'!$I$3:$I$501,'Plan prihoda za unos u SAP'!$C$3:$C$501,"=11",'Plan prihoda za unos u SAP'!$K$3:$K$501,"=631")</f>
        <v>0</v>
      </c>
      <c r="E92" s="202">
        <f>SUMIFS('Plan prihoda za unos u SAP'!$I$3:$I$501,'Plan prihoda za unos u SAP'!$C$3:$C$501,"=12",'Plan prihoda za unos u SAP'!$K$3:$K$501,"=631")</f>
        <v>0</v>
      </c>
      <c r="F92" s="202">
        <f>SUMIFS('Plan prihoda za unos u SAP'!$I$3:$I$501,'Plan prihoda za unos u SAP'!$C$3:$C$501,"=31",'Plan prihoda za unos u SAP'!$K$3:$K$501,"=631")</f>
        <v>0</v>
      </c>
      <c r="G92" s="202">
        <f>SUMIFS('Plan prihoda za unos u SAP'!$I$3:$I$501,'Plan prihoda za unos u SAP'!$C$3:$C$501,"=41",'Plan prihoda za unos u SAP'!$K$3:$K$501,"=631")</f>
        <v>0</v>
      </c>
      <c r="H92" s="202">
        <f>SUMIFS('Plan prihoda za unos u SAP'!$I$3:$I$501,'Plan prihoda za unos u SAP'!$C$3:$C$501,"=43",'Plan prihoda za unos u SAP'!$K$3:$K$501,"=631")</f>
        <v>0</v>
      </c>
      <c r="I92" s="202">
        <f>SUMIFS('Plan prihoda za unos u SAP'!$I$3:$I$501,'Plan prihoda za unos u SAP'!$C$3:$C$501,"=51",'Plan prihoda za unos u SAP'!$K$3:$K$501,"=631")</f>
        <v>0</v>
      </c>
      <c r="J92" s="202">
        <f>SUMIFS('Plan prihoda za unos u SAP'!$I$3:$I$501,'Plan prihoda za unos u SAP'!$C$3:$C$501,"=52",'Plan prihoda za unos u SAP'!$K$3:$K$501,"=631")</f>
        <v>0</v>
      </c>
      <c r="K92" s="202">
        <f>SUMIFS('Plan prihoda za unos u SAP'!$I$3:$I$501,'Plan prihoda za unos u SAP'!$C$3:$C$501,"=552",'Plan prihoda za unos u SAP'!$K$3:$K$501,"=631")</f>
        <v>0</v>
      </c>
      <c r="L92" s="202">
        <f>SUMIFS('Plan prihoda za unos u SAP'!$I$3:$I$501,'Plan prihoda za unos u SAP'!$C$3:$C$501,"=559",'Plan prihoda za unos u SAP'!$K$3:$K$501,"=631")</f>
        <v>0</v>
      </c>
      <c r="M92" s="202">
        <f>SUMIFS('Plan prihoda za unos u SAP'!$I$3:$I$501,'Plan prihoda za unos u SAP'!$C$3:$C$501,"=561",'Plan prihoda za unos u SAP'!$K$3:$K$501,"=631")</f>
        <v>0</v>
      </c>
      <c r="N92" s="202">
        <f>SUMIFS('Plan prihoda za unos u SAP'!$I$3:$I$501,'Plan prihoda za unos u SAP'!$C$3:$C$501,"=563",'Plan prihoda za unos u SAP'!$K$3:$K$501,"=631")</f>
        <v>0</v>
      </c>
      <c r="O92" s="202">
        <f>SUMIFS('Plan prihoda za unos u SAP'!$I$3:$I$501,'Plan prihoda za unos u SAP'!$C$3:$C$501,"=573",'Plan prihoda za unos u SAP'!$K$3:$K$501,"=631")</f>
        <v>0</v>
      </c>
      <c r="P92" s="202">
        <f>SUMIFS('Plan prihoda za unos u SAP'!$I$3:$I$501,'Plan prihoda za unos u SAP'!$C$3:$C$501,"=575",'Plan prihoda za unos u SAP'!$K$3:$K$501,"=631")</f>
        <v>0</v>
      </c>
      <c r="Q92" s="202">
        <f>SUMIFS('Plan prihoda za unos u SAP'!$I$3:$I$501,'Plan prihoda za unos u SAP'!$C$3:$C$501,"=61",'Plan prihoda za unos u SAP'!$K$3:$K$501,"=631")</f>
        <v>0</v>
      </c>
      <c r="R92" s="202">
        <f>SUMIFS('Plan prihoda za unos u SAP'!$I$3:$I$501,'Plan prihoda za unos u SAP'!$C$3:$C$501,"=63",'Plan prihoda za unos u SAP'!$K$3:$K$501,"=631")</f>
        <v>0</v>
      </c>
      <c r="S92" s="202">
        <f>SUMIFS('Plan prihoda za unos u SAP'!$I$3:$I$501,'Plan prihoda za unos u SAP'!$C$3:$C$501,"=71",'Plan prihoda za unos u SAP'!$K$3:$K$501,"=631")</f>
        <v>0</v>
      </c>
      <c r="T92" s="202">
        <f>SUMIFS('Plan prihoda za unos u SAP'!$I$3:$I$501,'Plan prihoda za unos u SAP'!$C$3:$C$501,"=81",'Plan prihoda za unos u SAP'!$K$3:$K$501,"=631")</f>
        <v>0</v>
      </c>
      <c r="U92" s="202">
        <f>SUMIFS('Plan prihoda za unos u SAP'!$I$3:$I$501,'Plan prihoda za unos u SAP'!$C$3:$C$501,"=83",'Plan prihoda za unos u SAP'!$K$3:$K$501,"=631")</f>
        <v>0</v>
      </c>
    </row>
    <row r="93" spans="1:27" s="91" customFormat="1">
      <c r="A93" s="96" t="s">
        <v>305</v>
      </c>
      <c r="B93" s="97" t="s">
        <v>306</v>
      </c>
      <c r="C93" s="71">
        <f t="shared" si="65"/>
        <v>28544932</v>
      </c>
      <c r="D93" s="202">
        <f>SUMIFS('Plan prihoda za unos u SAP'!$I$3:$I$501,'Plan prihoda za unos u SAP'!$C$3:$C$501,"=11",'Plan prihoda za unos u SAP'!$K$3:$K$501,"=632")</f>
        <v>0</v>
      </c>
      <c r="E93" s="202">
        <f>SUMIFS('Plan prihoda za unos u SAP'!$I$3:$I$501,'Plan prihoda za unos u SAP'!$C$3:$C$501,"=12",'Plan prihoda za unos u SAP'!$K$3:$K$501,"=632")</f>
        <v>0</v>
      </c>
      <c r="F93" s="202">
        <f>SUMIFS('Plan prihoda za unos u SAP'!$I$3:$I$501,'Plan prihoda za unos u SAP'!$C$3:$C$501,"=31",'Plan prihoda za unos u SAP'!$K$3:$K$501,"=632")</f>
        <v>0</v>
      </c>
      <c r="G93" s="202">
        <f>SUMIFS('Plan prihoda za unos u SAP'!$I$3:$I$501,'Plan prihoda za unos u SAP'!$C$3:$C$501,"=41",'Plan prihoda za unos u SAP'!$K$3:$K$501,"=632")</f>
        <v>0</v>
      </c>
      <c r="H93" s="202">
        <f>SUMIFS('Plan prihoda za unos u SAP'!$I$3:$I$501,'Plan prihoda za unos u SAP'!$C$3:$C$501,"=43",'Plan prihoda za unos u SAP'!$K$3:$K$501,"=632")</f>
        <v>0</v>
      </c>
      <c r="I93" s="202">
        <f>SUMIFS('Plan prihoda za unos u SAP'!$I$3:$I$501,'Plan prihoda za unos u SAP'!$C$3:$C$501,"=51",'Plan prihoda za unos u SAP'!$K$3:$K$501,"=632")</f>
        <v>0</v>
      </c>
      <c r="J93" s="202">
        <f>SUMIFS('Plan prihoda za unos u SAP'!$I$3:$I$501,'Plan prihoda za unos u SAP'!$C$3:$C$501,"=52",'Plan prihoda za unos u SAP'!$K$3:$K$501,"=632")</f>
        <v>0</v>
      </c>
      <c r="K93" s="202">
        <f>SUMIFS('Plan prihoda za unos u SAP'!$I$3:$I$501,'Plan prihoda za unos u SAP'!$C$3:$C$501,"=552",'Plan prihoda za unos u SAP'!$K$3:$K$501,"=632")</f>
        <v>0</v>
      </c>
      <c r="L93" s="202">
        <f>SUMIFS('Plan prihoda za unos u SAP'!$I$3:$I$501,'Plan prihoda za unos u SAP'!$C$3:$C$501,"=559",'Plan prihoda za unos u SAP'!$K$3:$K$501,"=632")</f>
        <v>0</v>
      </c>
      <c r="M93" s="202">
        <f>SUMIFS('Plan prihoda za unos u SAP'!$I$3:$I$501,'Plan prihoda za unos u SAP'!$C$3:$C$501,"=561",'Plan prihoda za unos u SAP'!$K$3:$K$501,"=632")</f>
        <v>28544932</v>
      </c>
      <c r="N93" s="202">
        <f>SUMIFS('Plan prihoda za unos u SAP'!$I$3:$I$501,'Plan prihoda za unos u SAP'!$C$3:$C$501,"=563",'Plan prihoda za unos u SAP'!$K$3:$K$501,"=632")</f>
        <v>0</v>
      </c>
      <c r="O93" s="202">
        <f>SUMIFS('Plan prihoda za unos u SAP'!$I$3:$I$501,'Plan prihoda za unos u SAP'!$C$3:$C$501,"=573",'Plan prihoda za unos u SAP'!$K$3:$K$501,"=632")</f>
        <v>0</v>
      </c>
      <c r="P93" s="202">
        <f>SUMIFS('Plan prihoda za unos u SAP'!$I$3:$I$501,'Plan prihoda za unos u SAP'!$C$3:$C$501,"=575",'Plan prihoda za unos u SAP'!$K$3:$K$501,"=632")</f>
        <v>0</v>
      </c>
      <c r="Q93" s="202">
        <f>SUMIFS('Plan prihoda za unos u SAP'!$I$3:$I$501,'Plan prihoda za unos u SAP'!$C$3:$C$501,"=61",'Plan prihoda za unos u SAP'!$K$3:$K$501,"=632")</f>
        <v>0</v>
      </c>
      <c r="R93" s="202">
        <f>SUMIFS('Plan prihoda za unos u SAP'!$I$3:$I$501,'Plan prihoda za unos u SAP'!$C$3:$C$501,"=63",'Plan prihoda za unos u SAP'!$K$3:$K$501,"=632")</f>
        <v>0</v>
      </c>
      <c r="S93" s="202">
        <f>SUMIFS('Plan prihoda za unos u SAP'!$I$3:$I$501,'Plan prihoda za unos u SAP'!$C$3:$C$501,"=71",'Plan prihoda za unos u SAP'!$K$3:$K$501,"=632")</f>
        <v>0</v>
      </c>
      <c r="T93" s="202">
        <f>SUMIFS('Plan prihoda za unos u SAP'!$I$3:$I$501,'Plan prihoda za unos u SAP'!$C$3:$C$501,"=81",'Plan prihoda za unos u SAP'!$K$3:$K$501,"=632")</f>
        <v>0</v>
      </c>
      <c r="U93" s="202">
        <f>SUMIFS('Plan prihoda za unos u SAP'!$I$3:$I$501,'Plan prihoda za unos u SAP'!$C$3:$C$501,"=83",'Plan prihoda za unos u SAP'!$K$3:$K$501,"=632")</f>
        <v>0</v>
      </c>
    </row>
    <row r="94" spans="1:27" s="91" customFormat="1">
      <c r="A94" s="96" t="s">
        <v>307</v>
      </c>
      <c r="B94" s="97" t="s">
        <v>308</v>
      </c>
      <c r="C94" s="71">
        <f t="shared" si="65"/>
        <v>0</v>
      </c>
      <c r="D94" s="202">
        <f>SUMIFS('Plan prihoda za unos u SAP'!$I$3:$I$501,'Plan prihoda za unos u SAP'!$C$3:$C$501,"=11",'Plan prihoda za unos u SAP'!$K$3:$K$501,"=634")</f>
        <v>0</v>
      </c>
      <c r="E94" s="202">
        <f>SUMIFS('Plan prihoda za unos u SAP'!$I$3:$I$501,'Plan prihoda za unos u SAP'!$C$3:$C$501,"=12",'Plan prihoda za unos u SAP'!$K$3:$K$501,"=634")</f>
        <v>0</v>
      </c>
      <c r="F94" s="202">
        <f>SUMIFS('Plan prihoda za unos u SAP'!$I$3:$I$501,'Plan prihoda za unos u SAP'!$C$3:$C$501,"=31",'Plan prihoda za unos u SAP'!$K$3:$K$501,"=634")</f>
        <v>0</v>
      </c>
      <c r="G94" s="202">
        <f>SUMIFS('Plan prihoda za unos u SAP'!$I$3:$I$501,'Plan prihoda za unos u SAP'!$C$3:$C$501,"=41",'Plan prihoda za unos u SAP'!$K$3:$K$501,"=634")</f>
        <v>0</v>
      </c>
      <c r="H94" s="202">
        <f>SUMIFS('Plan prihoda za unos u SAP'!$I$3:$I$501,'Plan prihoda za unos u SAP'!$C$3:$C$501,"=43",'Plan prihoda za unos u SAP'!$K$3:$K$501,"=634")</f>
        <v>0</v>
      </c>
      <c r="I94" s="202">
        <f>SUMIFS('Plan prihoda za unos u SAP'!$I$3:$I$501,'Plan prihoda za unos u SAP'!$C$3:$C$501,"=51",'Plan prihoda za unos u SAP'!$K$3:$K$501,"=634")</f>
        <v>0</v>
      </c>
      <c r="J94" s="202">
        <f>SUMIFS('Plan prihoda za unos u SAP'!$I$3:$I$501,'Plan prihoda za unos u SAP'!$C$3:$C$501,"=52",'Plan prihoda za unos u SAP'!$K$3:$K$501,"=634")</f>
        <v>0</v>
      </c>
      <c r="K94" s="202">
        <f>SUMIFS('Plan prihoda za unos u SAP'!$I$3:$I$501,'Plan prihoda za unos u SAP'!$C$3:$C$501,"=552",'Plan prihoda za unos u SAP'!$K$3:$K$501,"=634")</f>
        <v>0</v>
      </c>
      <c r="L94" s="202">
        <f>SUMIFS('Plan prihoda za unos u SAP'!$I$3:$I$501,'Plan prihoda za unos u SAP'!$C$3:$C$501,"=559",'Plan prihoda za unos u SAP'!$K$3:$K$501,"=634")</f>
        <v>0</v>
      </c>
      <c r="M94" s="202">
        <f>SUMIFS('Plan prihoda za unos u SAP'!$I$3:$I$501,'Plan prihoda za unos u SAP'!$C$3:$C$501,"=561",'Plan prihoda za unos u SAP'!$K$3:$K$501,"=634")</f>
        <v>0</v>
      </c>
      <c r="N94" s="202">
        <f>SUMIFS('Plan prihoda za unos u SAP'!$I$3:$I$501,'Plan prihoda za unos u SAP'!$C$3:$C$501,"=563",'Plan prihoda za unos u SAP'!$K$3:$K$501,"=634")</f>
        <v>0</v>
      </c>
      <c r="O94" s="202">
        <f>SUMIFS('Plan prihoda za unos u SAP'!$I$3:$I$501,'Plan prihoda za unos u SAP'!$C$3:$C$501,"=573",'Plan prihoda za unos u SAP'!$K$3:$K$501,"=634")</f>
        <v>0</v>
      </c>
      <c r="P94" s="202">
        <f>SUMIFS('Plan prihoda za unos u SAP'!$I$3:$I$501,'Plan prihoda za unos u SAP'!$C$3:$C$501,"=575",'Plan prihoda za unos u SAP'!$K$3:$K$501,"=634")</f>
        <v>0</v>
      </c>
      <c r="Q94" s="202">
        <f>SUMIFS('Plan prihoda za unos u SAP'!$I$3:$I$501,'Plan prihoda za unos u SAP'!$C$3:$C$501,"=61",'Plan prihoda za unos u SAP'!$K$3:$K$501,"=634")</f>
        <v>0</v>
      </c>
      <c r="R94" s="202">
        <f>SUMIFS('Plan prihoda za unos u SAP'!$I$3:$I$501,'Plan prihoda za unos u SAP'!$C$3:$C$501,"=63",'Plan prihoda za unos u SAP'!$K$3:$K$501,"=634")</f>
        <v>0</v>
      </c>
      <c r="S94" s="202">
        <f>SUMIFS('Plan prihoda za unos u SAP'!$I$3:$I$501,'Plan prihoda za unos u SAP'!$C$3:$C$501,"=71",'Plan prihoda za unos u SAP'!$K$3:$K$501,"=634")</f>
        <v>0</v>
      </c>
      <c r="T94" s="202">
        <f>SUMIFS('Plan prihoda za unos u SAP'!$I$3:$I$501,'Plan prihoda za unos u SAP'!$C$3:$C$501,"=81",'Plan prihoda za unos u SAP'!$K$3:$K$501,"=634")</f>
        <v>0</v>
      </c>
      <c r="U94" s="202">
        <f>SUMIFS('Plan prihoda za unos u SAP'!$I$3:$I$501,'Plan prihoda za unos u SAP'!$C$3:$C$501,"=83",'Plan prihoda za unos u SAP'!$K$3:$K$501,"=634")</f>
        <v>0</v>
      </c>
    </row>
    <row r="95" spans="1:27" s="91" customFormat="1">
      <c r="A95" s="247" t="s">
        <v>815</v>
      </c>
      <c r="B95" s="97" t="s">
        <v>816</v>
      </c>
      <c r="C95" s="71">
        <f t="shared" si="65"/>
        <v>0</v>
      </c>
      <c r="D95" s="202">
        <f>SUMIFS('Plan prihoda za unos u SAP'!$I$3:$I$501,'Plan prihoda za unos u SAP'!$C$3:$C$501,"=11",'Plan prihoda za unos u SAP'!$K$3:$K$501,"=636")</f>
        <v>0</v>
      </c>
      <c r="E95" s="202">
        <f>SUMIFS('Plan prihoda za unos u SAP'!$I$3:$I$501,'Plan prihoda za unos u SAP'!$C$3:$C$501,"=12",'Plan prihoda za unos u SAP'!$K$3:$K$501,"=636")</f>
        <v>0</v>
      </c>
      <c r="F95" s="202">
        <f>SUMIFS('Plan prihoda za unos u SAP'!$I$3:$I$501,'Plan prihoda za unos u SAP'!$C$3:$C$501,"=31",'Plan prihoda za unos u SAP'!$K$3:$K$501,"=636")</f>
        <v>0</v>
      </c>
      <c r="G95" s="202">
        <f>SUMIFS('Plan prihoda za unos u SAP'!$I$3:$I$501,'Plan prihoda za unos u SAP'!$C$3:$C$501,"=41",'Plan prihoda za unos u SAP'!$K$3:$K$501,"=636")</f>
        <v>0</v>
      </c>
      <c r="H95" s="202">
        <f>SUMIFS('Plan prihoda za unos u SAP'!$I$3:$I$501,'Plan prihoda za unos u SAP'!$C$3:$C$501,"=43",'Plan prihoda za unos u SAP'!$K$3:$K$501,"=636")</f>
        <v>0</v>
      </c>
      <c r="I95" s="202">
        <f>SUMIFS('Plan prihoda za unos u SAP'!$I$3:$I$501,'Plan prihoda za unos u SAP'!$C$3:$C$501,"=51",'Plan prihoda za unos u SAP'!$K$3:$K$501,"=636")</f>
        <v>0</v>
      </c>
      <c r="J95" s="202">
        <f>SUMIFS('Plan prihoda za unos u SAP'!$I$3:$I$501,'Plan prihoda za unos u SAP'!$C$3:$C$501,"=52",'Plan prihoda za unos u SAP'!$K$3:$K$501,"=636")</f>
        <v>0</v>
      </c>
      <c r="K95" s="202">
        <f>SUMIFS('Plan prihoda za unos u SAP'!$I$3:$I$501,'Plan prihoda za unos u SAP'!$C$3:$C$501,"=552",'Plan prihoda za unos u SAP'!$K$3:$K$501,"=636")</f>
        <v>0</v>
      </c>
      <c r="L95" s="202">
        <f>SUMIFS('Plan prihoda za unos u SAP'!$I$3:$I$501,'Plan prihoda za unos u SAP'!$C$3:$C$501,"=559",'Plan prihoda za unos u SAP'!$K$3:$K$501,"=636")</f>
        <v>0</v>
      </c>
      <c r="M95" s="202">
        <f>SUMIFS('Plan prihoda za unos u SAP'!$I$3:$I$501,'Plan prihoda za unos u SAP'!$C$3:$C$501,"=561",'Plan prihoda za unos u SAP'!$K$3:$K$501,"=636")</f>
        <v>0</v>
      </c>
      <c r="N95" s="202">
        <f>SUMIFS('Plan prihoda za unos u SAP'!$I$3:$I$501,'Plan prihoda za unos u SAP'!$C$3:$C$501,"=563",'Plan prihoda za unos u SAP'!$K$3:$K$501,"=636")</f>
        <v>0</v>
      </c>
      <c r="O95" s="202">
        <f>SUMIFS('Plan prihoda za unos u SAP'!$I$3:$I$501,'Plan prihoda za unos u SAP'!$C$3:$C$501,"=573",'Plan prihoda za unos u SAP'!$K$3:$K$501,"=636")</f>
        <v>0</v>
      </c>
      <c r="P95" s="202">
        <f>SUMIFS('Plan prihoda za unos u SAP'!$I$3:$I$501,'Plan prihoda za unos u SAP'!$C$3:$C$501,"=575",'Plan prihoda za unos u SAP'!$K$3:$K$501,"=636")</f>
        <v>0</v>
      </c>
      <c r="Q95" s="202">
        <f>SUMIFS('Plan prihoda za unos u SAP'!$I$3:$I$501,'Plan prihoda za unos u SAP'!$C$3:$C$501,"=61",'Plan prihoda za unos u SAP'!$K$3:$K$501,"=636")</f>
        <v>0</v>
      </c>
      <c r="R95" s="202">
        <f>SUMIFS('Plan prihoda za unos u SAP'!$I$3:$I$501,'Plan prihoda za unos u SAP'!$C$3:$C$501,"=63",'Plan prihoda za unos u SAP'!$K$3:$K$501,"=636")</f>
        <v>0</v>
      </c>
      <c r="S95" s="202">
        <f>SUMIFS('Plan prihoda za unos u SAP'!$I$3:$I$501,'Plan prihoda za unos u SAP'!$C$3:$C$501,"=71",'Plan prihoda za unos u SAP'!$K$3:$K$501,"=636")</f>
        <v>0</v>
      </c>
      <c r="T95" s="202">
        <f>SUMIFS('Plan prihoda za unos u SAP'!$I$3:$I$501,'Plan prihoda za unos u SAP'!$C$3:$C$501,"=81",'Plan prihoda za unos u SAP'!$K$3:$K$501,"=636")</f>
        <v>0</v>
      </c>
      <c r="U95" s="202">
        <f>SUMIFS('Plan prihoda za unos u SAP'!$I$3:$I$501,'Plan prihoda za unos u SAP'!$C$3:$C$501,"=83",'Plan prihoda za unos u SAP'!$K$3:$K$501,"=636")</f>
        <v>0</v>
      </c>
    </row>
    <row r="96" spans="1:27" s="91" customFormat="1">
      <c r="A96" s="96" t="s">
        <v>309</v>
      </c>
      <c r="B96" s="97" t="s">
        <v>310</v>
      </c>
      <c r="C96" s="71">
        <f t="shared" si="65"/>
        <v>0</v>
      </c>
      <c r="D96" s="202">
        <f>SUMIFS('Plan prihoda za unos u SAP'!$I$3:$I$501,'Plan prihoda za unos u SAP'!$C$3:$C$501,"=11",'Plan prihoda za unos u SAP'!$K$3:$K$501,"=638")</f>
        <v>0</v>
      </c>
      <c r="E96" s="202">
        <f>SUMIFS('Plan prihoda za unos u SAP'!$I$3:$I$501,'Plan prihoda za unos u SAP'!$C$3:$C$501,"=12",'Plan prihoda za unos u SAP'!$K$3:$K$501,"=638")</f>
        <v>0</v>
      </c>
      <c r="F96" s="202">
        <f>SUMIFS('Plan prihoda za unos u SAP'!$I$3:$I$501,'Plan prihoda za unos u SAP'!$C$3:$C$501,"=31",'Plan prihoda za unos u SAP'!$K$3:$K$501,"=638")</f>
        <v>0</v>
      </c>
      <c r="G96" s="202">
        <f>SUMIFS('Plan prihoda za unos u SAP'!$I$3:$I$501,'Plan prihoda za unos u SAP'!$C$3:$C$501,"=41",'Plan prihoda za unos u SAP'!$K$3:$K$501,"=638")</f>
        <v>0</v>
      </c>
      <c r="H96" s="202">
        <f>SUMIFS('Plan prihoda za unos u SAP'!$I$3:$I$501,'Plan prihoda za unos u SAP'!$C$3:$C$501,"=43",'Plan prihoda za unos u SAP'!$K$3:$K$501,"=638")</f>
        <v>0</v>
      </c>
      <c r="I96" s="202">
        <f>SUMIFS('Plan prihoda za unos u SAP'!$I$3:$I$501,'Plan prihoda za unos u SAP'!$C$3:$C$501,"=51",'Plan prihoda za unos u SAP'!$K$3:$K$501,"=638")</f>
        <v>0</v>
      </c>
      <c r="J96" s="202">
        <f>SUMIFS('Plan prihoda za unos u SAP'!$I$3:$I$501,'Plan prihoda za unos u SAP'!$C$3:$C$501,"=52",'Plan prihoda za unos u SAP'!$K$3:$K$501,"=638")</f>
        <v>0</v>
      </c>
      <c r="K96" s="202">
        <f>SUMIFS('Plan prihoda za unos u SAP'!$I$3:$I$501,'Plan prihoda za unos u SAP'!$C$3:$C$501,"=552",'Plan prihoda za unos u SAP'!$K$3:$K$501,"=638")</f>
        <v>0</v>
      </c>
      <c r="L96" s="202">
        <f>SUMIFS('Plan prihoda za unos u SAP'!$I$3:$I$501,'Plan prihoda za unos u SAP'!$C$3:$C$501,"=559",'Plan prihoda za unos u SAP'!$K$3:$K$501,"=638")</f>
        <v>0</v>
      </c>
      <c r="M96" s="202">
        <f>SUMIFS('Plan prihoda za unos u SAP'!$I$3:$I$501,'Plan prihoda za unos u SAP'!$C$3:$C$501,"=561",'Plan prihoda za unos u SAP'!$K$3:$K$501,"=638")</f>
        <v>0</v>
      </c>
      <c r="N96" s="202">
        <f>SUMIFS('Plan prihoda za unos u SAP'!$I$3:$I$501,'Plan prihoda za unos u SAP'!$C$3:$C$501,"=563",'Plan prihoda za unos u SAP'!$K$3:$K$501,"=638")</f>
        <v>0</v>
      </c>
      <c r="O96" s="202">
        <f>SUMIFS('Plan prihoda za unos u SAP'!$I$3:$I$501,'Plan prihoda za unos u SAP'!$C$3:$C$501,"=573",'Plan prihoda za unos u SAP'!$K$3:$K$501,"=638")</f>
        <v>0</v>
      </c>
      <c r="P96" s="202">
        <f>SUMIFS('Plan prihoda za unos u SAP'!$I$3:$I$501,'Plan prihoda za unos u SAP'!$C$3:$C$501,"=575",'Plan prihoda za unos u SAP'!$K$3:$K$501,"=638")</f>
        <v>0</v>
      </c>
      <c r="Q96" s="202">
        <f>SUMIFS('Plan prihoda za unos u SAP'!$I$3:$I$501,'Plan prihoda za unos u SAP'!$C$3:$C$501,"=61",'Plan prihoda za unos u SAP'!$K$3:$K$501,"=638")</f>
        <v>0</v>
      </c>
      <c r="R96" s="202">
        <f>SUMIFS('Plan prihoda za unos u SAP'!$I$3:$I$501,'Plan prihoda za unos u SAP'!$C$3:$C$501,"=63",'Plan prihoda za unos u SAP'!$K$3:$K$501,"=638")</f>
        <v>0</v>
      </c>
      <c r="S96" s="202">
        <f>SUMIFS('Plan prihoda za unos u SAP'!$I$3:$I$501,'Plan prihoda za unos u SAP'!$C$3:$C$501,"=71",'Plan prihoda za unos u SAP'!$K$3:$K$501,"=638")</f>
        <v>0</v>
      </c>
      <c r="T96" s="202">
        <f>SUMIFS('Plan prihoda za unos u SAP'!$I$3:$I$501,'Plan prihoda za unos u SAP'!$C$3:$C$501,"=81",'Plan prihoda za unos u SAP'!$K$3:$K$501,"=638")</f>
        <v>0</v>
      </c>
      <c r="U96" s="202">
        <f>SUMIFS('Plan prihoda za unos u SAP'!$I$3:$I$501,'Plan prihoda za unos u SAP'!$C$3:$C$501,"=83",'Plan prihoda za unos u SAP'!$K$3:$K$501,"=638")</f>
        <v>0</v>
      </c>
    </row>
    <row r="97" spans="1:21" s="91" customFormat="1">
      <c r="A97" s="96" t="s">
        <v>311</v>
      </c>
      <c r="B97" s="97" t="s">
        <v>53</v>
      </c>
      <c r="C97" s="71">
        <f t="shared" si="65"/>
        <v>0</v>
      </c>
      <c r="D97" s="202">
        <f>SUMIFS('Plan prihoda za unos u SAP'!$I$3:$I$501,'Plan prihoda za unos u SAP'!$C$3:$C$501,"=11",'Plan prihoda za unos u SAP'!$K$3:$K$501,"=639")</f>
        <v>0</v>
      </c>
      <c r="E97" s="202">
        <f>SUMIFS('Plan prihoda za unos u SAP'!$I$3:$I$501,'Plan prihoda za unos u SAP'!$C$3:$C$501,"=12",'Plan prihoda za unos u SAP'!$K$3:$K$501,"=639")</f>
        <v>0</v>
      </c>
      <c r="F97" s="202">
        <f>SUMIFS('Plan prihoda za unos u SAP'!$I$3:$I$501,'Plan prihoda za unos u SAP'!$C$3:$C$501,"=31",'Plan prihoda za unos u SAP'!$K$3:$K$501,"=639")</f>
        <v>0</v>
      </c>
      <c r="G97" s="202">
        <f>SUMIFS('Plan prihoda za unos u SAP'!$I$3:$I$501,'Plan prihoda za unos u SAP'!$C$3:$C$501,"=41",'Plan prihoda za unos u SAP'!$K$3:$K$501,"=639")</f>
        <v>0</v>
      </c>
      <c r="H97" s="202">
        <f>SUMIFS('Plan prihoda za unos u SAP'!$I$3:$I$501,'Plan prihoda za unos u SAP'!$C$3:$C$501,"=43",'Plan prihoda za unos u SAP'!$K$3:$K$501,"=639")</f>
        <v>0</v>
      </c>
      <c r="I97" s="202">
        <f>SUMIFS('Plan prihoda za unos u SAP'!$I$3:$I$501,'Plan prihoda za unos u SAP'!$C$3:$C$501,"=51",'Plan prihoda za unos u SAP'!$K$3:$K$501,"=639")</f>
        <v>0</v>
      </c>
      <c r="J97" s="202">
        <f>SUMIFS('Plan prihoda za unos u SAP'!$I$3:$I$501,'Plan prihoda za unos u SAP'!$C$3:$C$501,"=52",'Plan prihoda za unos u SAP'!$K$3:$K$501,"=639")</f>
        <v>0</v>
      </c>
      <c r="K97" s="202">
        <f>SUMIFS('Plan prihoda za unos u SAP'!$I$3:$I$501,'Plan prihoda za unos u SAP'!$C$3:$C$501,"=552",'Plan prihoda za unos u SAP'!$K$3:$K$501,"=639")</f>
        <v>0</v>
      </c>
      <c r="L97" s="202">
        <f>SUMIFS('Plan prihoda za unos u SAP'!$I$3:$I$501,'Plan prihoda za unos u SAP'!$C$3:$C$501,"=559",'Plan prihoda za unos u SAP'!$K$3:$K$501,"=639")</f>
        <v>0</v>
      </c>
      <c r="M97" s="202">
        <f>SUMIFS('Plan prihoda za unos u SAP'!$I$3:$I$501,'Plan prihoda za unos u SAP'!$C$3:$C$501,"=561",'Plan prihoda za unos u SAP'!$K$3:$K$501,"=639")</f>
        <v>0</v>
      </c>
      <c r="N97" s="202">
        <f>SUMIFS('Plan prihoda za unos u SAP'!$I$3:$I$501,'Plan prihoda za unos u SAP'!$C$3:$C$501,"=563",'Plan prihoda za unos u SAP'!$K$3:$K$501,"=639")</f>
        <v>0</v>
      </c>
      <c r="O97" s="202">
        <f>SUMIFS('Plan prihoda za unos u SAP'!$I$3:$I$501,'Plan prihoda za unos u SAP'!$C$3:$C$501,"=573",'Plan prihoda za unos u SAP'!$K$3:$K$501,"=639")</f>
        <v>0</v>
      </c>
      <c r="P97" s="202">
        <f>SUMIFS('Plan prihoda za unos u SAP'!$I$3:$I$501,'Plan prihoda za unos u SAP'!$C$3:$C$501,"=575",'Plan prihoda za unos u SAP'!$K$3:$K$501,"=639")</f>
        <v>0</v>
      </c>
      <c r="Q97" s="202">
        <f>SUMIFS('Plan prihoda za unos u SAP'!$I$3:$I$501,'Plan prihoda za unos u SAP'!$C$3:$C$501,"=61",'Plan prihoda za unos u SAP'!$K$3:$K$501,"=639")</f>
        <v>0</v>
      </c>
      <c r="R97" s="202">
        <f>SUMIFS('Plan prihoda za unos u SAP'!$I$3:$I$501,'Plan prihoda za unos u SAP'!$C$3:$C$501,"=63",'Plan prihoda za unos u SAP'!$K$3:$K$501,"=639")</f>
        <v>0</v>
      </c>
      <c r="S97" s="202">
        <f>SUMIFS('Plan prihoda za unos u SAP'!$I$3:$I$501,'Plan prihoda za unos u SAP'!$C$3:$C$501,"=71",'Plan prihoda za unos u SAP'!$K$3:$K$501,"=639")</f>
        <v>0</v>
      </c>
      <c r="T97" s="202">
        <f>SUMIFS('Plan prihoda za unos u SAP'!$I$3:$I$501,'Plan prihoda za unos u SAP'!$C$3:$C$501,"=81",'Plan prihoda za unos u SAP'!$K$3:$K$501,"=639")</f>
        <v>0</v>
      </c>
      <c r="U97" s="202">
        <f>SUMIFS('Plan prihoda za unos u SAP'!$I$3:$I$501,'Plan prihoda za unos u SAP'!$C$3:$C$501,"=83",'Plan prihoda za unos u SAP'!$K$3:$K$501,"=639")</f>
        <v>0</v>
      </c>
    </row>
    <row r="98" spans="1:21" s="91" customFormat="1">
      <c r="A98" s="96" t="s">
        <v>312</v>
      </c>
      <c r="B98" s="97" t="s">
        <v>313</v>
      </c>
      <c r="C98" s="71">
        <f t="shared" si="65"/>
        <v>0</v>
      </c>
      <c r="D98" s="202">
        <f>SUMIFS('Plan prihoda za unos u SAP'!$I$3:$I$501,'Plan prihoda za unos u SAP'!$C$3:$C$501,"=11",'Plan prihoda za unos u SAP'!$K$3:$K$501,"=641")</f>
        <v>0</v>
      </c>
      <c r="E98" s="202">
        <f>SUMIFS('Plan prihoda za unos u SAP'!$I$3:$I$501,'Plan prihoda za unos u SAP'!$C$3:$C$501,"=12",'Plan prihoda za unos u SAP'!$K$3:$K$501,"=641")</f>
        <v>0</v>
      </c>
      <c r="F98" s="202">
        <f>SUMIFS('Plan prihoda za unos u SAP'!$I$3:$I$501,'Plan prihoda za unos u SAP'!$C$3:$C$501,"=31",'Plan prihoda za unos u SAP'!$K$3:$K$501,"=641")</f>
        <v>0</v>
      </c>
      <c r="G98" s="202">
        <f>SUMIFS('Plan prihoda za unos u SAP'!$I$3:$I$501,'Plan prihoda za unos u SAP'!$C$3:$C$501,"=41",'Plan prihoda za unos u SAP'!$K$3:$K$501,"=641")</f>
        <v>0</v>
      </c>
      <c r="H98" s="202">
        <f>SUMIFS('Plan prihoda za unos u SAP'!$I$3:$I$501,'Plan prihoda za unos u SAP'!$C$3:$C$501,"=43",'Plan prihoda za unos u SAP'!$K$3:$K$501,"=641")</f>
        <v>0</v>
      </c>
      <c r="I98" s="202">
        <f>SUMIFS('Plan prihoda za unos u SAP'!$I$3:$I$501,'Plan prihoda za unos u SAP'!$C$3:$C$501,"=51",'Plan prihoda za unos u SAP'!$K$3:$K$501,"=641")</f>
        <v>0</v>
      </c>
      <c r="J98" s="202">
        <f>SUMIFS('Plan prihoda za unos u SAP'!$I$3:$I$501,'Plan prihoda za unos u SAP'!$C$3:$C$501,"=52",'Plan prihoda za unos u SAP'!$K$3:$K$501,"=641")</f>
        <v>0</v>
      </c>
      <c r="K98" s="202">
        <f>SUMIFS('Plan prihoda za unos u SAP'!$I$3:$I$501,'Plan prihoda za unos u SAP'!$C$3:$C$501,"=552",'Plan prihoda za unos u SAP'!$K$3:$K$501,"=641")</f>
        <v>0</v>
      </c>
      <c r="L98" s="202">
        <f>SUMIFS('Plan prihoda za unos u SAP'!$I$3:$I$501,'Plan prihoda za unos u SAP'!$C$3:$C$501,"=559",'Plan prihoda za unos u SAP'!$K$3:$K$501,"=641")</f>
        <v>0</v>
      </c>
      <c r="M98" s="202">
        <f>SUMIFS('Plan prihoda za unos u SAP'!$I$3:$I$501,'Plan prihoda za unos u SAP'!$C$3:$C$501,"=561",'Plan prihoda za unos u SAP'!$K$3:$K$501,"=641")</f>
        <v>0</v>
      </c>
      <c r="N98" s="202">
        <f>SUMIFS('Plan prihoda za unos u SAP'!$I$3:$I$501,'Plan prihoda za unos u SAP'!$C$3:$C$501,"=563",'Plan prihoda za unos u SAP'!$K$3:$K$501,"=641")</f>
        <v>0</v>
      </c>
      <c r="O98" s="202">
        <f>SUMIFS('Plan prihoda za unos u SAP'!$I$3:$I$501,'Plan prihoda za unos u SAP'!$C$3:$C$501,"=573",'Plan prihoda za unos u SAP'!$K$3:$K$501,"=641")</f>
        <v>0</v>
      </c>
      <c r="P98" s="202">
        <f>SUMIFS('Plan prihoda za unos u SAP'!$I$3:$I$501,'Plan prihoda za unos u SAP'!$C$3:$C$501,"=575",'Plan prihoda za unos u SAP'!$K$3:$K$501,"=641")</f>
        <v>0</v>
      </c>
      <c r="Q98" s="202">
        <f>SUMIFS('Plan prihoda za unos u SAP'!$I$3:$I$501,'Plan prihoda za unos u SAP'!$C$3:$C$501,"=61",'Plan prihoda za unos u SAP'!$K$3:$K$501,"=641")</f>
        <v>0</v>
      </c>
      <c r="R98" s="202">
        <f>SUMIFS('Plan prihoda za unos u SAP'!$I$3:$I$501,'Plan prihoda za unos u SAP'!$C$3:$C$501,"=63",'Plan prihoda za unos u SAP'!$K$3:$K$501,"=641")</f>
        <v>0</v>
      </c>
      <c r="S98" s="202">
        <f>SUMIFS('Plan prihoda za unos u SAP'!$I$3:$I$501,'Plan prihoda za unos u SAP'!$C$3:$C$501,"=71",'Plan prihoda za unos u SAP'!$K$3:$K$501,"=641")</f>
        <v>0</v>
      </c>
      <c r="T98" s="202">
        <f>SUMIFS('Plan prihoda za unos u SAP'!$I$3:$I$501,'Plan prihoda za unos u SAP'!$C$3:$C$501,"=81",'Plan prihoda za unos u SAP'!$K$3:$K$501,"=641")</f>
        <v>0</v>
      </c>
      <c r="U98" s="202">
        <f>SUMIFS('Plan prihoda za unos u SAP'!$I$3:$I$501,'Plan prihoda za unos u SAP'!$C$3:$C$501,"=83",'Plan prihoda za unos u SAP'!$K$3:$K$501,"=641")</f>
        <v>0</v>
      </c>
    </row>
    <row r="99" spans="1:21" s="91" customFormat="1">
      <c r="A99" s="96" t="s">
        <v>314</v>
      </c>
      <c r="B99" s="97" t="s">
        <v>315</v>
      </c>
      <c r="C99" s="71">
        <f t="shared" si="65"/>
        <v>0</v>
      </c>
      <c r="D99" s="202">
        <f>SUMIFS('Plan prihoda za unos u SAP'!$I$3:$I$501,'Plan prihoda za unos u SAP'!$C$3:$C$501,"=11",'Plan prihoda za unos u SAP'!$K$3:$K$501,"=642")</f>
        <v>0</v>
      </c>
      <c r="E99" s="202">
        <f>SUMIFS('Plan prihoda za unos u SAP'!$I$3:$I$501,'Plan prihoda za unos u SAP'!$C$3:$C$501,"=12",'Plan prihoda za unos u SAP'!$K$3:$K$501,"=642")</f>
        <v>0</v>
      </c>
      <c r="F99" s="202">
        <f>SUMIFS('Plan prihoda za unos u SAP'!$I$3:$I$501,'Plan prihoda za unos u SAP'!$C$3:$C$501,"=31",'Plan prihoda za unos u SAP'!$K$3:$K$501,"=642")</f>
        <v>0</v>
      </c>
      <c r="G99" s="202">
        <f>SUMIFS('Plan prihoda za unos u SAP'!$I$3:$I$501,'Plan prihoda za unos u SAP'!$C$3:$C$501,"=41",'Plan prihoda za unos u SAP'!$K$3:$K$501,"=642")</f>
        <v>0</v>
      </c>
      <c r="H99" s="202">
        <f>SUMIFS('Plan prihoda za unos u SAP'!$I$3:$I$501,'Plan prihoda za unos u SAP'!$C$3:$C$501,"=43",'Plan prihoda za unos u SAP'!$K$3:$K$501,"=642")</f>
        <v>0</v>
      </c>
      <c r="I99" s="202">
        <f>SUMIFS('Plan prihoda za unos u SAP'!$I$3:$I$501,'Plan prihoda za unos u SAP'!$C$3:$C$501,"=51",'Plan prihoda za unos u SAP'!$K$3:$K$501,"=642")</f>
        <v>0</v>
      </c>
      <c r="J99" s="202">
        <f>SUMIFS('Plan prihoda za unos u SAP'!$I$3:$I$501,'Plan prihoda za unos u SAP'!$C$3:$C$501,"=52",'Plan prihoda za unos u SAP'!$K$3:$K$501,"=642")</f>
        <v>0</v>
      </c>
      <c r="K99" s="202">
        <f>SUMIFS('Plan prihoda za unos u SAP'!$I$3:$I$501,'Plan prihoda za unos u SAP'!$C$3:$C$501,"=552",'Plan prihoda za unos u SAP'!$K$3:$K$501,"=642")</f>
        <v>0</v>
      </c>
      <c r="L99" s="202">
        <f>SUMIFS('Plan prihoda za unos u SAP'!$I$3:$I$501,'Plan prihoda za unos u SAP'!$C$3:$C$501,"=559",'Plan prihoda za unos u SAP'!$K$3:$K$501,"=642")</f>
        <v>0</v>
      </c>
      <c r="M99" s="202">
        <f>SUMIFS('Plan prihoda za unos u SAP'!$I$3:$I$501,'Plan prihoda za unos u SAP'!$C$3:$C$501,"=561",'Plan prihoda za unos u SAP'!$K$3:$K$501,"=642")</f>
        <v>0</v>
      </c>
      <c r="N99" s="202">
        <f>SUMIFS('Plan prihoda za unos u SAP'!$I$3:$I$501,'Plan prihoda za unos u SAP'!$C$3:$C$501,"=563",'Plan prihoda za unos u SAP'!$K$3:$K$501,"=642")</f>
        <v>0</v>
      </c>
      <c r="O99" s="202">
        <f>SUMIFS('Plan prihoda za unos u SAP'!$I$3:$I$501,'Plan prihoda za unos u SAP'!$C$3:$C$501,"=573",'Plan prihoda za unos u SAP'!$K$3:$K$501,"=642")</f>
        <v>0</v>
      </c>
      <c r="P99" s="202">
        <f>SUMIFS('Plan prihoda za unos u SAP'!$I$3:$I$501,'Plan prihoda za unos u SAP'!$C$3:$C$501,"=575",'Plan prihoda za unos u SAP'!$K$3:$K$501,"=642")</f>
        <v>0</v>
      </c>
      <c r="Q99" s="202">
        <f>SUMIFS('Plan prihoda za unos u SAP'!$I$3:$I$501,'Plan prihoda za unos u SAP'!$C$3:$C$501,"=61",'Plan prihoda za unos u SAP'!$K$3:$K$501,"=642")</f>
        <v>0</v>
      </c>
      <c r="R99" s="202">
        <f>SUMIFS('Plan prihoda za unos u SAP'!$I$3:$I$501,'Plan prihoda za unos u SAP'!$C$3:$C$501,"=63",'Plan prihoda za unos u SAP'!$K$3:$K$501,"=642")</f>
        <v>0</v>
      </c>
      <c r="S99" s="202">
        <f>SUMIFS('Plan prihoda za unos u SAP'!$I$3:$I$501,'Plan prihoda za unos u SAP'!$C$3:$C$501,"=71",'Plan prihoda za unos u SAP'!$K$3:$K$501,"=642")</f>
        <v>0</v>
      </c>
      <c r="T99" s="202">
        <f>SUMIFS('Plan prihoda za unos u SAP'!$I$3:$I$501,'Plan prihoda za unos u SAP'!$C$3:$C$501,"=81",'Plan prihoda za unos u SAP'!$K$3:$K$501,"=642")</f>
        <v>0</v>
      </c>
      <c r="U99" s="202">
        <f>SUMIFS('Plan prihoda za unos u SAP'!$I$3:$I$501,'Plan prihoda za unos u SAP'!$C$3:$C$501,"=83",'Plan prihoda za unos u SAP'!$K$3:$K$501,"=642")</f>
        <v>0</v>
      </c>
    </row>
    <row r="100" spans="1:21" s="91" customFormat="1">
      <c r="A100" s="247" t="s">
        <v>818</v>
      </c>
      <c r="B100" s="97" t="s">
        <v>817</v>
      </c>
      <c r="C100" s="71">
        <f t="shared" si="65"/>
        <v>0</v>
      </c>
      <c r="D100" s="202">
        <f>SUMIFS('Plan prihoda za unos u SAP'!$I$3:$I$501,'Plan prihoda za unos u SAP'!$C$3:$C$501,"=11",'Plan prihoda za unos u SAP'!$K$3:$K$501,"=651")</f>
        <v>0</v>
      </c>
      <c r="E100" s="202">
        <f>SUMIFS('Plan prihoda za unos u SAP'!$I$3:$I$501,'Plan prihoda za unos u SAP'!$C$3:$C$501,"=12",'Plan prihoda za unos u SAP'!$K$3:$K$501,"=651")</f>
        <v>0</v>
      </c>
      <c r="F100" s="202">
        <f>SUMIFS('Plan prihoda za unos u SAP'!$I$3:$I$501,'Plan prihoda za unos u SAP'!$C$3:$C$501,"=31",'Plan prihoda za unos u SAP'!$K$3:$K$501,"=651")</f>
        <v>0</v>
      </c>
      <c r="G100" s="202">
        <f>SUMIFS('Plan prihoda za unos u SAP'!$I$3:$I$501,'Plan prihoda za unos u SAP'!$C$3:$C$501,"=41",'Plan prihoda za unos u SAP'!$K$3:$K$501,"=651")</f>
        <v>0</v>
      </c>
      <c r="H100" s="202">
        <f>SUMIFS('Plan prihoda za unos u SAP'!$I$3:$I$501,'Plan prihoda za unos u SAP'!$C$3:$C$501,"=43",'Plan prihoda za unos u SAP'!$K$3:$K$501,"=651")</f>
        <v>0</v>
      </c>
      <c r="I100" s="202">
        <f>SUMIFS('Plan prihoda za unos u SAP'!$I$3:$I$501,'Plan prihoda za unos u SAP'!$C$3:$C$501,"=51",'Plan prihoda za unos u SAP'!$K$3:$K$501,"=651")</f>
        <v>0</v>
      </c>
      <c r="J100" s="202">
        <f>SUMIFS('Plan prihoda za unos u SAP'!$I$3:$I$501,'Plan prihoda za unos u SAP'!$C$3:$C$501,"=52",'Plan prihoda za unos u SAP'!$K$3:$K$501,"=651")</f>
        <v>0</v>
      </c>
      <c r="K100" s="202">
        <f>SUMIFS('Plan prihoda za unos u SAP'!$I$3:$I$501,'Plan prihoda za unos u SAP'!$C$3:$C$501,"=552",'Plan prihoda za unos u SAP'!$K$3:$K$501,"=651")</f>
        <v>0</v>
      </c>
      <c r="L100" s="202">
        <f>SUMIFS('Plan prihoda za unos u SAP'!$I$3:$I$501,'Plan prihoda za unos u SAP'!$C$3:$C$501,"=559",'Plan prihoda za unos u SAP'!$K$3:$K$501,"=651")</f>
        <v>0</v>
      </c>
      <c r="M100" s="202">
        <f>SUMIFS('Plan prihoda za unos u SAP'!$I$3:$I$501,'Plan prihoda za unos u SAP'!$C$3:$C$501,"=561",'Plan prihoda za unos u SAP'!$K$3:$K$501,"=651")</f>
        <v>0</v>
      </c>
      <c r="N100" s="202">
        <f>SUMIFS('Plan prihoda za unos u SAP'!$I$3:$I$501,'Plan prihoda za unos u SAP'!$C$3:$C$501,"=563",'Plan prihoda za unos u SAP'!$K$3:$K$501,"=651")</f>
        <v>0</v>
      </c>
      <c r="O100" s="202">
        <f>SUMIFS('Plan prihoda za unos u SAP'!$I$3:$I$501,'Plan prihoda za unos u SAP'!$C$3:$C$501,"=573",'Plan prihoda za unos u SAP'!$K$3:$K$501,"=651")</f>
        <v>0</v>
      </c>
      <c r="P100" s="202">
        <f>SUMIFS('Plan prihoda za unos u SAP'!$I$3:$I$501,'Plan prihoda za unos u SAP'!$C$3:$C$501,"=575",'Plan prihoda za unos u SAP'!$K$3:$K$501,"=651")</f>
        <v>0</v>
      </c>
      <c r="Q100" s="202">
        <f>SUMIFS('Plan prihoda za unos u SAP'!$I$3:$I$501,'Plan prihoda za unos u SAP'!$C$3:$C$501,"=61",'Plan prihoda za unos u SAP'!$K$3:$K$501,"=651")</f>
        <v>0</v>
      </c>
      <c r="R100" s="202">
        <f>SUMIFS('Plan prihoda za unos u SAP'!$I$3:$I$501,'Plan prihoda za unos u SAP'!$C$3:$C$501,"=63",'Plan prihoda za unos u SAP'!$K$3:$K$501,"=651")</f>
        <v>0</v>
      </c>
      <c r="S100" s="202">
        <f>SUMIFS('Plan prihoda za unos u SAP'!$I$3:$I$501,'Plan prihoda za unos u SAP'!$C$3:$C$501,"=71",'Plan prihoda za unos u SAP'!$K$3:$K$501,"=651")</f>
        <v>0</v>
      </c>
      <c r="T100" s="202">
        <f>SUMIFS('Plan prihoda za unos u SAP'!$I$3:$I$501,'Plan prihoda za unos u SAP'!$C$3:$C$501,"=81",'Plan prihoda za unos u SAP'!$K$3:$K$501,"=651")</f>
        <v>0</v>
      </c>
      <c r="U100" s="202">
        <f>SUMIFS('Plan prihoda za unos u SAP'!$I$3:$I$501,'Plan prihoda za unos u SAP'!$C$3:$C$501,"=83",'Plan prihoda za unos u SAP'!$K$3:$K$501,"=651")</f>
        <v>0</v>
      </c>
    </row>
    <row r="101" spans="1:21" s="91" customFormat="1">
      <c r="A101" s="96" t="s">
        <v>316</v>
      </c>
      <c r="B101" s="97" t="s">
        <v>317</v>
      </c>
      <c r="C101" s="71">
        <f t="shared" si="65"/>
        <v>1170000</v>
      </c>
      <c r="D101" s="202">
        <f>SUMIFS('Plan prihoda za unos u SAP'!$I$3:$I$501,'Plan prihoda za unos u SAP'!$C$3:$C$501,"=11",'Plan prihoda za unos u SAP'!$K$3:$K$501,"=652")</f>
        <v>0</v>
      </c>
      <c r="E101" s="202">
        <f>SUMIFS('Plan prihoda za unos u SAP'!$I$3:$I$501,'Plan prihoda za unos u SAP'!$C$3:$C$501,"=12",'Plan prihoda za unos u SAP'!$K$3:$K$501,"=652")</f>
        <v>0</v>
      </c>
      <c r="F101" s="202">
        <f>SUMIFS('Plan prihoda za unos u SAP'!$I$3:$I$501,'Plan prihoda za unos u SAP'!$C$3:$C$501,"=31",'Plan prihoda za unos u SAP'!$K$3:$K$501,"=652")</f>
        <v>0</v>
      </c>
      <c r="G101" s="202">
        <f>SUMIFS('Plan prihoda za unos u SAP'!$I$3:$I$501,'Plan prihoda za unos u SAP'!$C$3:$C$501,"=41",'Plan prihoda za unos u SAP'!$K$3:$K$501,"=652")</f>
        <v>0</v>
      </c>
      <c r="H101" s="202">
        <f>SUMIFS('Plan prihoda za unos u SAP'!$I$3:$I$501,'Plan prihoda za unos u SAP'!$C$3:$C$501,"=43",'Plan prihoda za unos u SAP'!$K$3:$K$501,"=652")</f>
        <v>1170000</v>
      </c>
      <c r="I101" s="202">
        <f>SUMIFS('Plan prihoda za unos u SAP'!$I$3:$I$501,'Plan prihoda za unos u SAP'!$C$3:$C$501,"=51",'Plan prihoda za unos u SAP'!$K$3:$K$501,"=652")</f>
        <v>0</v>
      </c>
      <c r="J101" s="202">
        <f>SUMIFS('Plan prihoda za unos u SAP'!$I$3:$I$501,'Plan prihoda za unos u SAP'!$C$3:$C$501,"=52",'Plan prihoda za unos u SAP'!$K$3:$K$501,"=652")</f>
        <v>0</v>
      </c>
      <c r="K101" s="202">
        <f>SUMIFS('Plan prihoda za unos u SAP'!$I$3:$I$501,'Plan prihoda za unos u SAP'!$C$3:$C$501,"=552",'Plan prihoda za unos u SAP'!$K$3:$K$501,"=652")</f>
        <v>0</v>
      </c>
      <c r="L101" s="202">
        <f>SUMIFS('Plan prihoda za unos u SAP'!$I$3:$I$501,'Plan prihoda za unos u SAP'!$C$3:$C$501,"=559",'Plan prihoda za unos u SAP'!$K$3:$K$501,"=652")</f>
        <v>0</v>
      </c>
      <c r="M101" s="202">
        <f>SUMIFS('Plan prihoda za unos u SAP'!$I$3:$I$501,'Plan prihoda za unos u SAP'!$C$3:$C$501,"=561",'Plan prihoda za unos u SAP'!$K$3:$K$501,"=652")</f>
        <v>0</v>
      </c>
      <c r="N101" s="202">
        <f>SUMIFS('Plan prihoda za unos u SAP'!$I$3:$I$501,'Plan prihoda za unos u SAP'!$C$3:$C$501,"=563",'Plan prihoda za unos u SAP'!$K$3:$K$501,"=652")</f>
        <v>0</v>
      </c>
      <c r="O101" s="202">
        <f>SUMIFS('Plan prihoda za unos u SAP'!$I$3:$I$501,'Plan prihoda za unos u SAP'!$C$3:$C$501,"=573",'Plan prihoda za unos u SAP'!$K$3:$K$501,"=652")</f>
        <v>0</v>
      </c>
      <c r="P101" s="202">
        <f>SUMIFS('Plan prihoda za unos u SAP'!$I$3:$I$501,'Plan prihoda za unos u SAP'!$C$3:$C$501,"=575",'Plan prihoda za unos u SAP'!$K$3:$K$501,"=652")</f>
        <v>0</v>
      </c>
      <c r="Q101" s="202">
        <f>SUMIFS('Plan prihoda za unos u SAP'!$I$3:$I$501,'Plan prihoda za unos u SAP'!$C$3:$C$501,"=61",'Plan prihoda za unos u SAP'!$K$3:$K$501,"=652")</f>
        <v>0</v>
      </c>
      <c r="R101" s="202">
        <f>SUMIFS('Plan prihoda za unos u SAP'!$I$3:$I$501,'Plan prihoda za unos u SAP'!$C$3:$C$501,"=63",'Plan prihoda za unos u SAP'!$K$3:$K$501,"=652")</f>
        <v>0</v>
      </c>
      <c r="S101" s="202">
        <f>SUMIFS('Plan prihoda za unos u SAP'!$I$3:$I$501,'Plan prihoda za unos u SAP'!$C$3:$C$501,"=71",'Plan prihoda za unos u SAP'!$K$3:$K$501,"=652")</f>
        <v>0</v>
      </c>
      <c r="T101" s="202">
        <f>SUMIFS('Plan prihoda za unos u SAP'!$I$3:$I$501,'Plan prihoda za unos u SAP'!$C$3:$C$501,"=81",'Plan prihoda za unos u SAP'!$K$3:$K$501,"=652")</f>
        <v>0</v>
      </c>
      <c r="U101" s="202">
        <f>SUMIFS('Plan prihoda za unos u SAP'!$I$3:$I$501,'Plan prihoda za unos u SAP'!$C$3:$C$501,"=83",'Plan prihoda za unos u SAP'!$K$3:$K$501,"=652")</f>
        <v>0</v>
      </c>
    </row>
    <row r="102" spans="1:21" s="91" customFormat="1">
      <c r="A102" s="96" t="s">
        <v>318</v>
      </c>
      <c r="B102" s="97" t="s">
        <v>319</v>
      </c>
      <c r="C102" s="71">
        <f t="shared" si="65"/>
        <v>3073000</v>
      </c>
      <c r="D102" s="202">
        <f>SUMIFS('Plan prihoda za unos u SAP'!$I$3:$I$501,'Plan prihoda za unos u SAP'!$C$3:$C$501,"=11",'Plan prihoda za unos u SAP'!$K$3:$K$501,"=661")</f>
        <v>0</v>
      </c>
      <c r="E102" s="202">
        <f>SUMIFS('Plan prihoda za unos u SAP'!$I$3:$I$501,'Plan prihoda za unos u SAP'!$C$3:$C$501,"=12",'Plan prihoda za unos u SAP'!$K$3:$K$501,"=661")</f>
        <v>0</v>
      </c>
      <c r="F102" s="202">
        <f>SUMIFS('Plan prihoda za unos u SAP'!$I$3:$I$501,'Plan prihoda za unos u SAP'!$C$3:$C$501,"=31",'Plan prihoda za unos u SAP'!$K$3:$K$501,"=661")</f>
        <v>3073000</v>
      </c>
      <c r="G102" s="202">
        <f>SUMIFS('Plan prihoda za unos u SAP'!$I$3:$I$501,'Plan prihoda za unos u SAP'!$C$3:$C$501,"=41",'Plan prihoda za unos u SAP'!$K$3:$K$501,"=661")</f>
        <v>0</v>
      </c>
      <c r="H102" s="202">
        <f>SUMIFS('Plan prihoda za unos u SAP'!$I$3:$I$501,'Plan prihoda za unos u SAP'!$C$3:$C$501,"=43",'Plan prihoda za unos u SAP'!$K$3:$K$501,"=661")</f>
        <v>0</v>
      </c>
      <c r="I102" s="202">
        <f>SUMIFS('Plan prihoda za unos u SAP'!$I$3:$I$501,'Plan prihoda za unos u SAP'!$C$3:$C$501,"=51",'Plan prihoda za unos u SAP'!$K$3:$K$501,"=661")</f>
        <v>0</v>
      </c>
      <c r="J102" s="202">
        <f>SUMIFS('Plan prihoda za unos u SAP'!$I$3:$I$501,'Plan prihoda za unos u SAP'!$C$3:$C$501,"=52",'Plan prihoda za unos u SAP'!$K$3:$K$501,"=661")</f>
        <v>0</v>
      </c>
      <c r="K102" s="202">
        <f>SUMIFS('Plan prihoda za unos u SAP'!$I$3:$I$501,'Plan prihoda za unos u SAP'!$C$3:$C$501,"=552",'Plan prihoda za unos u SAP'!$K$3:$K$501,"=661")</f>
        <v>0</v>
      </c>
      <c r="L102" s="202">
        <f>SUMIFS('Plan prihoda za unos u SAP'!$I$3:$I$501,'Plan prihoda za unos u SAP'!$C$3:$C$501,"=559",'Plan prihoda za unos u SAP'!$K$3:$K$501,"=661")</f>
        <v>0</v>
      </c>
      <c r="M102" s="202">
        <f>SUMIFS('Plan prihoda za unos u SAP'!$I$3:$I$501,'Plan prihoda za unos u SAP'!$C$3:$C$501,"=561",'Plan prihoda za unos u SAP'!$K$3:$K$501,"=661")</f>
        <v>0</v>
      </c>
      <c r="N102" s="202">
        <f>SUMIFS('Plan prihoda za unos u SAP'!$I$3:$I$501,'Plan prihoda za unos u SAP'!$C$3:$C$501,"=563",'Plan prihoda za unos u SAP'!$K$3:$K$501,"=661")</f>
        <v>0</v>
      </c>
      <c r="O102" s="202">
        <f>SUMIFS('Plan prihoda za unos u SAP'!$I$3:$I$501,'Plan prihoda za unos u SAP'!$C$3:$C$501,"=573",'Plan prihoda za unos u SAP'!$K$3:$K$501,"=661")</f>
        <v>0</v>
      </c>
      <c r="P102" s="202">
        <f>SUMIFS('Plan prihoda za unos u SAP'!$I$3:$I$501,'Plan prihoda za unos u SAP'!$C$3:$C$501,"=575",'Plan prihoda za unos u SAP'!$K$3:$K$501,"=661")</f>
        <v>0</v>
      </c>
      <c r="Q102" s="202">
        <f>SUMIFS('Plan prihoda za unos u SAP'!$I$3:$I$501,'Plan prihoda za unos u SAP'!$C$3:$C$501,"=61",'Plan prihoda za unos u SAP'!$K$3:$K$501,"=661")</f>
        <v>0</v>
      </c>
      <c r="R102" s="202">
        <f>SUMIFS('Plan prihoda za unos u SAP'!$I$3:$I$501,'Plan prihoda za unos u SAP'!$C$3:$C$501,"=63",'Plan prihoda za unos u SAP'!$K$3:$K$501,"=661")</f>
        <v>0</v>
      </c>
      <c r="S102" s="202">
        <f>SUMIFS('Plan prihoda za unos u SAP'!$I$3:$I$501,'Plan prihoda za unos u SAP'!$C$3:$C$501,"=71",'Plan prihoda za unos u SAP'!$K$3:$K$501,"=661")</f>
        <v>0</v>
      </c>
      <c r="T102" s="202">
        <f>SUMIFS('Plan prihoda za unos u SAP'!$I$3:$I$501,'Plan prihoda za unos u SAP'!$C$3:$C$501,"=81",'Plan prihoda za unos u SAP'!$K$3:$K$501,"=661")</f>
        <v>0</v>
      </c>
      <c r="U102" s="202">
        <f>SUMIFS('Plan prihoda za unos u SAP'!$I$3:$I$501,'Plan prihoda za unos u SAP'!$C$3:$C$501,"=83",'Plan prihoda za unos u SAP'!$K$3:$K$501,"=661")</f>
        <v>0</v>
      </c>
    </row>
    <row r="103" spans="1:21" s="91" customFormat="1">
      <c r="A103" s="96" t="s">
        <v>320</v>
      </c>
      <c r="B103" s="97" t="s">
        <v>321</v>
      </c>
      <c r="C103" s="71">
        <f t="shared" si="65"/>
        <v>5000000</v>
      </c>
      <c r="D103" s="202">
        <f>SUMIFS('Plan prihoda za unos u SAP'!$I$3:$I$501,'Plan prihoda za unos u SAP'!$C$3:$C$501,"=11",'Plan prihoda za unos u SAP'!$K$3:$K$501,"=663")</f>
        <v>0</v>
      </c>
      <c r="E103" s="202">
        <f>SUMIFS('Plan prihoda za unos u SAP'!$I$3:$I$501,'Plan prihoda za unos u SAP'!$C$3:$C$501,"=12",'Plan prihoda za unos u SAP'!$K$3:$K$501,"=663")</f>
        <v>0</v>
      </c>
      <c r="F103" s="202">
        <f>SUMIFS('Plan prihoda za unos u SAP'!$I$3:$I$501,'Plan prihoda za unos u SAP'!$C$3:$C$501,"=31",'Plan prihoda za unos u SAP'!$K$3:$K$501,"=663")</f>
        <v>0</v>
      </c>
      <c r="G103" s="202">
        <f>SUMIFS('Plan prihoda za unos u SAP'!$I$3:$I$501,'Plan prihoda za unos u SAP'!$C$3:$C$501,"=41",'Plan prihoda za unos u SAP'!$K$3:$K$501,"=663")</f>
        <v>0</v>
      </c>
      <c r="H103" s="202">
        <f>SUMIFS('Plan prihoda za unos u SAP'!$I$3:$I$501,'Plan prihoda za unos u SAP'!$C$3:$C$501,"=43",'Plan prihoda za unos u SAP'!$K$3:$K$501,"=663")</f>
        <v>0</v>
      </c>
      <c r="I103" s="202">
        <f>SUMIFS('Plan prihoda za unos u SAP'!$I$3:$I$501,'Plan prihoda za unos u SAP'!$C$3:$C$501,"=51",'Plan prihoda za unos u SAP'!$K$3:$K$501,"=663")</f>
        <v>0</v>
      </c>
      <c r="J103" s="202">
        <f>SUMIFS('Plan prihoda za unos u SAP'!$I$3:$I$501,'Plan prihoda za unos u SAP'!$C$3:$C$501,"=52",'Plan prihoda za unos u SAP'!$K$3:$K$501,"=663")</f>
        <v>0</v>
      </c>
      <c r="K103" s="202">
        <f>SUMIFS('Plan prihoda za unos u SAP'!$I$3:$I$501,'Plan prihoda za unos u SAP'!$C$3:$C$501,"=552",'Plan prihoda za unos u SAP'!$K$3:$K$501,"=663")</f>
        <v>0</v>
      </c>
      <c r="L103" s="202">
        <f>SUMIFS('Plan prihoda za unos u SAP'!$I$3:$I$501,'Plan prihoda za unos u SAP'!$C$3:$C$501,"=559",'Plan prihoda za unos u SAP'!$K$3:$K$501,"=663")</f>
        <v>0</v>
      </c>
      <c r="M103" s="202">
        <f>SUMIFS('Plan prihoda za unos u SAP'!$I$3:$I$501,'Plan prihoda za unos u SAP'!$C$3:$C$501,"=561",'Plan prihoda za unos u SAP'!$K$3:$K$501,"=663")</f>
        <v>0</v>
      </c>
      <c r="N103" s="202">
        <f>SUMIFS('Plan prihoda za unos u SAP'!$I$3:$I$501,'Plan prihoda za unos u SAP'!$C$3:$C$501,"=563",'Plan prihoda za unos u SAP'!$K$3:$K$501,"=663")</f>
        <v>0</v>
      </c>
      <c r="O103" s="202">
        <f>SUMIFS('Plan prihoda za unos u SAP'!$I$3:$I$501,'Plan prihoda za unos u SAP'!$C$3:$C$501,"=573",'Plan prihoda za unos u SAP'!$K$3:$K$501,"=663")</f>
        <v>0</v>
      </c>
      <c r="P103" s="202">
        <f>SUMIFS('Plan prihoda za unos u SAP'!$I$3:$I$501,'Plan prihoda za unos u SAP'!$C$3:$C$501,"=575",'Plan prihoda za unos u SAP'!$K$3:$K$501,"=663")</f>
        <v>0</v>
      </c>
      <c r="Q103" s="202">
        <f>SUMIFS('Plan prihoda za unos u SAP'!$I$3:$I$501,'Plan prihoda za unos u SAP'!$C$3:$C$501,"=61",'Plan prihoda za unos u SAP'!$K$3:$K$501,"=663")</f>
        <v>5000000</v>
      </c>
      <c r="R103" s="202">
        <f>SUMIFS('Plan prihoda za unos u SAP'!$I$3:$I$501,'Plan prihoda za unos u SAP'!$C$3:$C$501,"=63",'Plan prihoda za unos u SAP'!$K$3:$K$501,"=663")</f>
        <v>0</v>
      </c>
      <c r="S103" s="202">
        <f>SUMIFS('Plan prihoda za unos u SAP'!$I$3:$I$501,'Plan prihoda za unos u SAP'!$C$3:$C$501,"=71",'Plan prihoda za unos u SAP'!$K$3:$K$501,"=663")</f>
        <v>0</v>
      </c>
      <c r="T103" s="202">
        <f>SUMIFS('Plan prihoda za unos u SAP'!$I$3:$I$501,'Plan prihoda za unos u SAP'!$C$3:$C$501,"=81",'Plan prihoda za unos u SAP'!$K$3:$K$501,"=663")</f>
        <v>0</v>
      </c>
      <c r="U103" s="202">
        <f>SUMIFS('Plan prihoda za unos u SAP'!$I$3:$I$501,'Plan prihoda za unos u SAP'!$C$3:$C$501,"=83",'Plan prihoda za unos u SAP'!$K$3:$K$501,"=663")</f>
        <v>0</v>
      </c>
    </row>
    <row r="104" spans="1:21" s="91" customFormat="1">
      <c r="A104" s="96" t="s">
        <v>322</v>
      </c>
      <c r="B104" s="130" t="s">
        <v>282</v>
      </c>
      <c r="C104" s="71">
        <f t="shared" si="65"/>
        <v>69981608</v>
      </c>
      <c r="D104" s="202">
        <f>SUMIFS('Plan prihoda za unos u SAP'!$I$3:$I$501,'Plan prihoda za unos u SAP'!$C$3:$C$501,"=11",'Plan prihoda za unos u SAP'!$K$3:$K$501,"=671")</f>
        <v>64944270</v>
      </c>
      <c r="E104" s="202">
        <f>SUMIFS('Plan prihoda za unos u SAP'!$I$3:$I$501,'Plan prihoda za unos u SAP'!$C$3:$C$501,"=12",'Plan prihoda za unos u SAP'!$K$3:$K$501,"=671")</f>
        <v>5037338</v>
      </c>
      <c r="F104" s="202">
        <f>SUMIFS('Plan prihoda za unos u SAP'!$I$3:$I$501,'Plan prihoda za unos u SAP'!$C$3:$C$501,"=31",'Plan prihoda za unos u SAP'!$K$3:$K$501,"=671")</f>
        <v>0</v>
      </c>
      <c r="G104" s="202">
        <f>SUMIFS('Plan prihoda za unos u SAP'!$I$3:$I$501,'Plan prihoda za unos u SAP'!$C$3:$C$501,"=41",'Plan prihoda za unos u SAP'!$K$3:$K$501,"=671")</f>
        <v>0</v>
      </c>
      <c r="H104" s="202">
        <f>SUMIFS('Plan prihoda za unos u SAP'!$I$3:$I$501,'Plan prihoda za unos u SAP'!$C$3:$C$501,"=43",'Plan prihoda za unos u SAP'!$K$3:$K$501,"=671")</f>
        <v>0</v>
      </c>
      <c r="I104" s="202">
        <f>SUMIFS('Plan prihoda za unos u SAP'!$I$3:$I$501,'Plan prihoda za unos u SAP'!$C$3:$C$501,"=51",'Plan prihoda za unos u SAP'!$K$3:$K$501,"=671")</f>
        <v>0</v>
      </c>
      <c r="J104" s="202">
        <f>SUMIFS('Plan prihoda za unos u SAP'!$I$3:$I$501,'Plan prihoda za unos u SAP'!$C$3:$C$501,"=52",'Plan prihoda za unos u SAP'!$K$3:$K$501,"=671")</f>
        <v>0</v>
      </c>
      <c r="K104" s="202">
        <f>SUMIFS('Plan prihoda za unos u SAP'!$I$3:$I$501,'Plan prihoda za unos u SAP'!$C$3:$C$501,"=552",'Plan prihoda za unos u SAP'!$K$3:$K$501,"=671")</f>
        <v>0</v>
      </c>
      <c r="L104" s="202">
        <f>SUMIFS('Plan prihoda za unos u SAP'!$I$3:$I$501,'Plan prihoda za unos u SAP'!$C$3:$C$501,"=559",'Plan prihoda za unos u SAP'!$K$3:$K$501,"=671")</f>
        <v>0</v>
      </c>
      <c r="M104" s="202">
        <f>SUMIFS('Plan prihoda za unos u SAP'!$I$3:$I$501,'Plan prihoda za unos u SAP'!$C$3:$C$501,"=561",'Plan prihoda za unos u SAP'!$K$3:$K$501,"=671")</f>
        <v>0</v>
      </c>
      <c r="N104" s="202">
        <f>SUMIFS('Plan prihoda za unos u SAP'!$I$3:$I$501,'Plan prihoda za unos u SAP'!$C$3:$C$501,"=563",'Plan prihoda za unos u SAP'!$K$3:$K$501,"=671")</f>
        <v>0</v>
      </c>
      <c r="O104" s="202">
        <f>SUMIFS('Plan prihoda za unos u SAP'!$I$3:$I$501,'Plan prihoda za unos u SAP'!$C$3:$C$501,"=573",'Plan prihoda za unos u SAP'!$K$3:$K$501,"=671")</f>
        <v>0</v>
      </c>
      <c r="P104" s="202">
        <f>SUMIFS('Plan prihoda za unos u SAP'!$I$3:$I$501,'Plan prihoda za unos u SAP'!$C$3:$C$501,"=575",'Plan prihoda za unos u SAP'!$K$3:$K$501,"=671")</f>
        <v>0</v>
      </c>
      <c r="Q104" s="202">
        <f>SUMIFS('Plan prihoda za unos u SAP'!$I$3:$I$501,'Plan prihoda za unos u SAP'!$C$3:$C$501,"=61",'Plan prihoda za unos u SAP'!$K$3:$K$501,"=671")</f>
        <v>0</v>
      </c>
      <c r="R104" s="202">
        <f>SUMIFS('Plan prihoda za unos u SAP'!$I$3:$I$501,'Plan prihoda za unos u SAP'!$C$3:$C$501,"=63",'Plan prihoda za unos u SAP'!$K$3:$K$501,"=671")</f>
        <v>0</v>
      </c>
      <c r="S104" s="202">
        <f>SUMIFS('Plan prihoda za unos u SAP'!$I$3:$I$501,'Plan prihoda za unos u SAP'!$C$3:$C$501,"=71",'Plan prihoda za unos u SAP'!$K$3:$K$501,"=671")</f>
        <v>0</v>
      </c>
      <c r="T104" s="202">
        <f>SUMIFS('Plan prihoda za unos u SAP'!$I$3:$I$501,'Plan prihoda za unos u SAP'!$C$3:$C$501,"=81",'Plan prihoda za unos u SAP'!$K$3:$K$501,"=671")</f>
        <v>0</v>
      </c>
      <c r="U104" s="202">
        <f>SUMIFS('Plan prihoda za unos u SAP'!$I$3:$I$501,'Plan prihoda za unos u SAP'!$C$3:$C$501,"=83",'Plan prihoda za unos u SAP'!$K$3:$K$501,"=671")</f>
        <v>0</v>
      </c>
    </row>
    <row r="105" spans="1:21" s="91" customFormat="1">
      <c r="A105" s="96" t="s">
        <v>323</v>
      </c>
      <c r="B105" s="97" t="s">
        <v>324</v>
      </c>
      <c r="C105" s="71">
        <f t="shared" si="65"/>
        <v>0</v>
      </c>
      <c r="D105" s="202">
        <f>SUMIFS('Plan prihoda za unos u SAP'!$I$3:$I$501,'Plan prihoda za unos u SAP'!$C$3:$C$501,"=11",'Plan prihoda za unos u SAP'!$K$3:$K$501,"=681")</f>
        <v>0</v>
      </c>
      <c r="E105" s="202">
        <f>SUMIFS('Plan prihoda za unos u SAP'!$I$3:$I$501,'Plan prihoda za unos u SAP'!$C$3:$C$501,"=12",'Plan prihoda za unos u SAP'!$K$3:$K$501,"=681")</f>
        <v>0</v>
      </c>
      <c r="F105" s="202">
        <f>SUMIFS('Plan prihoda za unos u SAP'!$I$3:$I$501,'Plan prihoda za unos u SAP'!$C$3:$C$501,"=31",'Plan prihoda za unos u SAP'!$K$3:$K$501,"=681")</f>
        <v>0</v>
      </c>
      <c r="G105" s="202">
        <f>SUMIFS('Plan prihoda za unos u SAP'!$I$3:$I$501,'Plan prihoda za unos u SAP'!$C$3:$C$501,"=41",'Plan prihoda za unos u SAP'!$K$3:$K$501,"=681")</f>
        <v>0</v>
      </c>
      <c r="H105" s="202">
        <f>SUMIFS('Plan prihoda za unos u SAP'!$I$3:$I$501,'Plan prihoda za unos u SAP'!$C$3:$C$501,"=43",'Plan prihoda za unos u SAP'!$K$3:$K$501,"=681")</f>
        <v>0</v>
      </c>
      <c r="I105" s="202">
        <f>SUMIFS('Plan prihoda za unos u SAP'!$I$3:$I$501,'Plan prihoda za unos u SAP'!$C$3:$C$501,"=51",'Plan prihoda za unos u SAP'!$K$3:$K$501,"=681")</f>
        <v>0</v>
      </c>
      <c r="J105" s="202">
        <f>SUMIFS('Plan prihoda za unos u SAP'!$I$3:$I$501,'Plan prihoda za unos u SAP'!$C$3:$C$501,"=52",'Plan prihoda za unos u SAP'!$K$3:$K$501,"=681")</f>
        <v>0</v>
      </c>
      <c r="K105" s="202">
        <f>SUMIFS('Plan prihoda za unos u SAP'!$I$3:$I$501,'Plan prihoda za unos u SAP'!$C$3:$C$501,"=552",'Plan prihoda za unos u SAP'!$K$3:$K$501,"=681")</f>
        <v>0</v>
      </c>
      <c r="L105" s="202">
        <f>SUMIFS('Plan prihoda za unos u SAP'!$I$3:$I$501,'Plan prihoda za unos u SAP'!$C$3:$C$501,"=559",'Plan prihoda za unos u SAP'!$K$3:$K$501,"=681")</f>
        <v>0</v>
      </c>
      <c r="M105" s="202">
        <f>SUMIFS('Plan prihoda za unos u SAP'!$I$3:$I$501,'Plan prihoda za unos u SAP'!$C$3:$C$501,"=561",'Plan prihoda za unos u SAP'!$K$3:$K$501,"=681")</f>
        <v>0</v>
      </c>
      <c r="N105" s="202">
        <f>SUMIFS('Plan prihoda za unos u SAP'!$I$3:$I$501,'Plan prihoda za unos u SAP'!$C$3:$C$501,"=563",'Plan prihoda za unos u SAP'!$K$3:$K$501,"=681")</f>
        <v>0</v>
      </c>
      <c r="O105" s="202">
        <f>SUMIFS('Plan prihoda za unos u SAP'!$I$3:$I$501,'Plan prihoda za unos u SAP'!$C$3:$C$501,"=573",'Plan prihoda za unos u SAP'!$K$3:$K$501,"=681")</f>
        <v>0</v>
      </c>
      <c r="P105" s="202">
        <f>SUMIFS('Plan prihoda za unos u SAP'!$I$3:$I$501,'Plan prihoda za unos u SAP'!$C$3:$C$501,"=575",'Plan prihoda za unos u SAP'!$K$3:$K$501,"=681")</f>
        <v>0</v>
      </c>
      <c r="Q105" s="202">
        <f>SUMIFS('Plan prihoda za unos u SAP'!$I$3:$I$501,'Plan prihoda za unos u SAP'!$C$3:$C$501,"=61",'Plan prihoda za unos u SAP'!$K$3:$K$501,"=681")</f>
        <v>0</v>
      </c>
      <c r="R105" s="202">
        <f>SUMIFS('Plan prihoda za unos u SAP'!$I$3:$I$501,'Plan prihoda za unos u SAP'!$C$3:$C$501,"=63",'Plan prihoda za unos u SAP'!$K$3:$K$501,"=681")</f>
        <v>0</v>
      </c>
      <c r="S105" s="202">
        <f>SUMIFS('Plan prihoda za unos u SAP'!$I$3:$I$501,'Plan prihoda za unos u SAP'!$C$3:$C$501,"=71",'Plan prihoda za unos u SAP'!$K$3:$K$501,"=681")</f>
        <v>0</v>
      </c>
      <c r="T105" s="202">
        <f>SUMIFS('Plan prihoda za unos u SAP'!$I$3:$I$501,'Plan prihoda za unos u SAP'!$C$3:$C$501,"=81",'Plan prihoda za unos u SAP'!$K$3:$K$501,"=681")</f>
        <v>0</v>
      </c>
      <c r="U105" s="202">
        <f>SUMIFS('Plan prihoda za unos u SAP'!$I$3:$I$501,'Plan prihoda za unos u SAP'!$C$3:$C$501,"=83",'Plan prihoda za unos u SAP'!$K$3:$K$501,"=681")</f>
        <v>0</v>
      </c>
    </row>
    <row r="106" spans="1:21" s="91" customFormat="1">
      <c r="A106" s="96" t="s">
        <v>325</v>
      </c>
      <c r="B106" s="97" t="s">
        <v>326</v>
      </c>
      <c r="C106" s="71">
        <f t="shared" si="65"/>
        <v>0</v>
      </c>
      <c r="D106" s="202">
        <f>SUMIFS('Plan prihoda za unos u SAP'!$I$3:$I$501,'Plan prihoda za unos u SAP'!$C$3:$C$501,"=11",'Plan prihoda za unos u SAP'!$K$3:$K$501,"=683")</f>
        <v>0</v>
      </c>
      <c r="E106" s="202">
        <f>SUMIFS('Plan prihoda za unos u SAP'!$I$3:$I$501,'Plan prihoda za unos u SAP'!$C$3:$C$501,"=12",'Plan prihoda za unos u SAP'!$K$3:$K$501,"=683")</f>
        <v>0</v>
      </c>
      <c r="F106" s="202">
        <f>SUMIFS('Plan prihoda za unos u SAP'!$I$3:$I$501,'Plan prihoda za unos u SAP'!$C$3:$C$501,"=31",'Plan prihoda za unos u SAP'!$K$3:$K$501,"=683")</f>
        <v>0</v>
      </c>
      <c r="G106" s="202">
        <f>SUMIFS('Plan prihoda za unos u SAP'!$I$3:$I$501,'Plan prihoda za unos u SAP'!$C$3:$C$501,"=41",'Plan prihoda za unos u SAP'!$K$3:$K$501,"=683")</f>
        <v>0</v>
      </c>
      <c r="H106" s="202">
        <f>SUMIFS('Plan prihoda za unos u SAP'!$I$3:$I$501,'Plan prihoda za unos u SAP'!$C$3:$C$501,"=43",'Plan prihoda za unos u SAP'!$K$3:$K$501,"=683")</f>
        <v>0</v>
      </c>
      <c r="I106" s="202">
        <f>SUMIFS('Plan prihoda za unos u SAP'!$I$3:$I$501,'Plan prihoda za unos u SAP'!$C$3:$C$501,"=51",'Plan prihoda za unos u SAP'!$K$3:$K$501,"=683")</f>
        <v>0</v>
      </c>
      <c r="J106" s="202">
        <f>SUMIFS('Plan prihoda za unos u SAP'!$I$3:$I$501,'Plan prihoda za unos u SAP'!$C$3:$C$501,"=52",'Plan prihoda za unos u SAP'!$K$3:$K$501,"=683")</f>
        <v>0</v>
      </c>
      <c r="K106" s="202">
        <f>SUMIFS('Plan prihoda za unos u SAP'!$I$3:$I$501,'Plan prihoda za unos u SAP'!$C$3:$C$501,"=552",'Plan prihoda za unos u SAP'!$K$3:$K$501,"=683")</f>
        <v>0</v>
      </c>
      <c r="L106" s="202">
        <f>SUMIFS('Plan prihoda za unos u SAP'!$I$3:$I$501,'Plan prihoda za unos u SAP'!$C$3:$C$501,"=559",'Plan prihoda za unos u SAP'!$K$3:$K$501,"=683")</f>
        <v>0</v>
      </c>
      <c r="M106" s="202">
        <f>SUMIFS('Plan prihoda za unos u SAP'!$I$3:$I$501,'Plan prihoda za unos u SAP'!$C$3:$C$501,"=561",'Plan prihoda za unos u SAP'!$K$3:$K$501,"=683")</f>
        <v>0</v>
      </c>
      <c r="N106" s="202">
        <f>SUMIFS('Plan prihoda za unos u SAP'!$I$3:$I$501,'Plan prihoda za unos u SAP'!$C$3:$C$501,"=563",'Plan prihoda za unos u SAP'!$K$3:$K$501,"=683")</f>
        <v>0</v>
      </c>
      <c r="O106" s="202">
        <f>SUMIFS('Plan prihoda za unos u SAP'!$I$3:$I$501,'Plan prihoda za unos u SAP'!$C$3:$C$501,"=573",'Plan prihoda za unos u SAP'!$K$3:$K$501,"=683")</f>
        <v>0</v>
      </c>
      <c r="P106" s="202">
        <f>SUMIFS('Plan prihoda za unos u SAP'!$I$3:$I$501,'Plan prihoda za unos u SAP'!$C$3:$C$501,"=575",'Plan prihoda za unos u SAP'!$K$3:$K$501,"=683")</f>
        <v>0</v>
      </c>
      <c r="Q106" s="202">
        <f>SUMIFS('Plan prihoda za unos u SAP'!$I$3:$I$501,'Plan prihoda za unos u SAP'!$C$3:$C$501,"=61",'Plan prihoda za unos u SAP'!$K$3:$K$501,"=683")</f>
        <v>0</v>
      </c>
      <c r="R106" s="202">
        <f>SUMIFS('Plan prihoda za unos u SAP'!$I$3:$I$501,'Plan prihoda za unos u SAP'!$C$3:$C$501,"=63",'Plan prihoda za unos u SAP'!$K$3:$K$501,"=683")</f>
        <v>0</v>
      </c>
      <c r="S106" s="202">
        <f>SUMIFS('Plan prihoda za unos u SAP'!$I$3:$I$501,'Plan prihoda za unos u SAP'!$C$3:$C$501,"=71",'Plan prihoda za unos u SAP'!$K$3:$K$501,"=683")</f>
        <v>0</v>
      </c>
      <c r="T106" s="202">
        <f>SUMIFS('Plan prihoda za unos u SAP'!$I$3:$I$501,'Plan prihoda za unos u SAP'!$C$3:$C$501,"=81",'Plan prihoda za unos u SAP'!$K$3:$K$501,"=683")</f>
        <v>0</v>
      </c>
      <c r="U106" s="202">
        <f>SUMIFS('Plan prihoda za unos u SAP'!$I$3:$I$501,'Plan prihoda za unos u SAP'!$C$3:$C$501,"=83",'Plan prihoda za unos u SAP'!$K$3:$K$501,"=683")</f>
        <v>0</v>
      </c>
    </row>
    <row r="107" spans="1:21" s="91" customFormat="1">
      <c r="A107" s="99" t="s">
        <v>327</v>
      </c>
      <c r="B107" s="100" t="s">
        <v>328</v>
      </c>
      <c r="C107" s="71">
        <f t="shared" si="65"/>
        <v>107769540</v>
      </c>
      <c r="D107" s="4">
        <f>SUM(D91:D106)</f>
        <v>64944270</v>
      </c>
      <c r="E107" s="4">
        <f t="shared" ref="E107:U107" si="81">SUM(E91:E106)</f>
        <v>5037338</v>
      </c>
      <c r="F107" s="4">
        <f t="shared" si="81"/>
        <v>3073000</v>
      </c>
      <c r="G107" s="4">
        <f t="shared" si="81"/>
        <v>0</v>
      </c>
      <c r="H107" s="4">
        <f t="shared" si="81"/>
        <v>1170000</v>
      </c>
      <c r="I107" s="4">
        <f t="shared" si="81"/>
        <v>0</v>
      </c>
      <c r="J107" s="4">
        <f t="shared" si="81"/>
        <v>0</v>
      </c>
      <c r="K107" s="4">
        <f t="shared" si="81"/>
        <v>0</v>
      </c>
      <c r="L107" s="4">
        <f t="shared" si="81"/>
        <v>0</v>
      </c>
      <c r="M107" s="4">
        <f t="shared" si="81"/>
        <v>28544932</v>
      </c>
      <c r="N107" s="4">
        <f t="shared" si="81"/>
        <v>0</v>
      </c>
      <c r="O107" s="4">
        <f t="shared" si="81"/>
        <v>0</v>
      </c>
      <c r="P107" s="4">
        <f t="shared" si="81"/>
        <v>0</v>
      </c>
      <c r="Q107" s="4">
        <f t="shared" si="81"/>
        <v>5000000</v>
      </c>
      <c r="R107" s="4">
        <f t="shared" si="81"/>
        <v>0</v>
      </c>
      <c r="S107" s="4">
        <f t="shared" si="81"/>
        <v>0</v>
      </c>
      <c r="T107" s="4">
        <f t="shared" si="81"/>
        <v>0</v>
      </c>
      <c r="U107" s="4">
        <f t="shared" si="81"/>
        <v>0</v>
      </c>
    </row>
    <row r="108" spans="1:21" s="91" customFormat="1">
      <c r="A108" s="96" t="s">
        <v>340</v>
      </c>
      <c r="B108" s="101" t="s">
        <v>341</v>
      </c>
      <c r="C108" s="71">
        <f t="shared" si="65"/>
        <v>0</v>
      </c>
      <c r="D108" s="202">
        <f>SUMIFS('Plan prihoda za unos u SAP'!$I$3:$I$501,'Plan prihoda za unos u SAP'!$C$3:$C$501,"=11",'Plan prihoda za unos u SAP'!$K$3:$K$501,"=711")</f>
        <v>0</v>
      </c>
      <c r="E108" s="202">
        <f>SUMIFS('Plan prihoda za unos u SAP'!$I$3:$I$501,'Plan prihoda za unos u SAP'!$C$3:$C$501,"=12",'Plan prihoda za unos u SAP'!$K$3:$K$501,"=711")</f>
        <v>0</v>
      </c>
      <c r="F108" s="202">
        <f>SUMIFS('Plan prihoda za unos u SAP'!$I$3:$I$501,'Plan prihoda za unos u SAP'!$C$3:$C$501,"=31",'Plan prihoda za unos u SAP'!$K$3:$K$501,"=711")</f>
        <v>0</v>
      </c>
      <c r="G108" s="202">
        <f>SUMIFS('Plan prihoda za unos u SAP'!$I$3:$I$501,'Plan prihoda za unos u SAP'!$C$3:$C$501,"=41",'Plan prihoda za unos u SAP'!$K$3:$K$501,"=711")</f>
        <v>0</v>
      </c>
      <c r="H108" s="202">
        <f>SUMIFS('Plan prihoda za unos u SAP'!$I$3:$I$501,'Plan prihoda za unos u SAP'!$C$3:$C$501,"=43",'Plan prihoda za unos u SAP'!$K$3:$K$501,"=711")</f>
        <v>0</v>
      </c>
      <c r="I108" s="202">
        <f>SUMIFS('Plan prihoda za unos u SAP'!$I$3:$I$501,'Plan prihoda za unos u SAP'!$C$3:$C$501,"=51",'Plan prihoda za unos u SAP'!$K$3:$K$501,"=711")</f>
        <v>0</v>
      </c>
      <c r="J108" s="202">
        <f>SUMIFS('Plan prihoda za unos u SAP'!$I$3:$I$501,'Plan prihoda za unos u SAP'!$C$3:$C$501,"=52",'Plan prihoda za unos u SAP'!$K$3:$K$501,"=711")</f>
        <v>0</v>
      </c>
      <c r="K108" s="202">
        <f>SUMIFS('Plan prihoda za unos u SAP'!$I$3:$I$501,'Plan prihoda za unos u SAP'!$C$3:$C$501,"=552",'Plan prihoda za unos u SAP'!$K$3:$K$501,"=711")</f>
        <v>0</v>
      </c>
      <c r="L108" s="202">
        <f>SUMIFS('Plan prihoda za unos u SAP'!$I$3:$I$501,'Plan prihoda za unos u SAP'!$C$3:$C$501,"=559",'Plan prihoda za unos u SAP'!$K$3:$K$501,"=711")</f>
        <v>0</v>
      </c>
      <c r="M108" s="202">
        <f>SUMIFS('Plan prihoda za unos u SAP'!$I$3:$I$501,'Plan prihoda za unos u SAP'!$C$3:$C$501,"=561",'Plan prihoda za unos u SAP'!$K$3:$K$501,"=711")</f>
        <v>0</v>
      </c>
      <c r="N108" s="202">
        <f>SUMIFS('Plan prihoda za unos u SAP'!$I$3:$I$501,'Plan prihoda za unos u SAP'!$C$3:$C$501,"=563",'Plan prihoda za unos u SAP'!$K$3:$K$501,"=711")</f>
        <v>0</v>
      </c>
      <c r="O108" s="202">
        <f>SUMIFS('Plan prihoda za unos u SAP'!$I$3:$I$501,'Plan prihoda za unos u SAP'!$C$3:$C$501,"=573",'Plan prihoda za unos u SAP'!$K$3:$K$501,"=711")</f>
        <v>0</v>
      </c>
      <c r="P108" s="202">
        <f>SUMIFS('Plan prihoda za unos u SAP'!$I$3:$I$501,'Plan prihoda za unos u SAP'!$C$3:$C$501,"=575",'Plan prihoda za unos u SAP'!$K$3:$K$501,"=711")</f>
        <v>0</v>
      </c>
      <c r="Q108" s="202">
        <f>SUMIFS('Plan prihoda za unos u SAP'!$I$3:$I$501,'Plan prihoda za unos u SAP'!$C$3:$C$501,"=61",'Plan prihoda za unos u SAP'!$K$3:$K$501,"=711")</f>
        <v>0</v>
      </c>
      <c r="R108" s="202">
        <f>SUMIFS('Plan prihoda za unos u SAP'!$I$3:$I$501,'Plan prihoda za unos u SAP'!$C$3:$C$501,"=63",'Plan prihoda za unos u SAP'!$K$3:$K$501,"=711")</f>
        <v>0</v>
      </c>
      <c r="S108" s="202">
        <f>SUMIFS('Plan prihoda za unos u SAP'!$I$3:$I$501,'Plan prihoda za unos u SAP'!$C$3:$C$501,"=71",'Plan prihoda za unos u SAP'!$K$3:$K$501,"=711")</f>
        <v>0</v>
      </c>
      <c r="T108" s="202">
        <f>SUMIFS('Plan prihoda za unos u SAP'!$I$3:$I$501,'Plan prihoda za unos u SAP'!$C$3:$C$501,"=81",'Plan prihoda za unos u SAP'!$K$3:$K$501,"=711")</f>
        <v>0</v>
      </c>
      <c r="U108" s="202">
        <f>SUMIFS('Plan prihoda za unos u SAP'!$I$3:$I$501,'Plan prihoda za unos u SAP'!$C$3:$C$501,"=83",'Plan prihoda za unos u SAP'!$K$3:$K$501,"=711")</f>
        <v>0</v>
      </c>
    </row>
    <row r="109" spans="1:21" s="91" customFormat="1">
      <c r="A109" s="96" t="s">
        <v>342</v>
      </c>
      <c r="B109" s="101" t="s">
        <v>343</v>
      </c>
      <c r="C109" s="71">
        <f t="shared" si="65"/>
        <v>0</v>
      </c>
      <c r="D109" s="202">
        <f>SUMIFS('Plan prihoda za unos u SAP'!$I$3:$I$501,'Plan prihoda za unos u SAP'!$C$3:$C$501,"=11",'Plan prihoda za unos u SAP'!$K$3:$K$501,"=712")</f>
        <v>0</v>
      </c>
      <c r="E109" s="202">
        <f>SUMIFS('Plan prihoda za unos u SAP'!$I$3:$I$501,'Plan prihoda za unos u SAP'!$C$3:$C$501,"=12",'Plan prihoda za unos u SAP'!$K$3:$K$501,"=712")</f>
        <v>0</v>
      </c>
      <c r="F109" s="202">
        <f>SUMIFS('Plan prihoda za unos u SAP'!$I$3:$I$501,'Plan prihoda za unos u SAP'!$C$3:$C$501,"=31",'Plan prihoda za unos u SAP'!$K$3:$K$501,"=712")</f>
        <v>0</v>
      </c>
      <c r="G109" s="202">
        <f>SUMIFS('Plan prihoda za unos u SAP'!$I$3:$I$501,'Plan prihoda za unos u SAP'!$C$3:$C$501,"=41",'Plan prihoda za unos u SAP'!$K$3:$K$501,"=712")</f>
        <v>0</v>
      </c>
      <c r="H109" s="202">
        <f>SUMIFS('Plan prihoda za unos u SAP'!$I$3:$I$501,'Plan prihoda za unos u SAP'!$C$3:$C$501,"=43",'Plan prihoda za unos u SAP'!$K$3:$K$501,"=712")</f>
        <v>0</v>
      </c>
      <c r="I109" s="202">
        <f>SUMIFS('Plan prihoda za unos u SAP'!$I$3:$I$501,'Plan prihoda za unos u SAP'!$C$3:$C$501,"=51",'Plan prihoda za unos u SAP'!$K$3:$K$501,"=712")</f>
        <v>0</v>
      </c>
      <c r="J109" s="202">
        <f>SUMIFS('Plan prihoda za unos u SAP'!$I$3:$I$501,'Plan prihoda za unos u SAP'!$C$3:$C$501,"=52",'Plan prihoda za unos u SAP'!$K$3:$K$501,"=712")</f>
        <v>0</v>
      </c>
      <c r="K109" s="202">
        <f>SUMIFS('Plan prihoda za unos u SAP'!$I$3:$I$501,'Plan prihoda za unos u SAP'!$C$3:$C$501,"=552",'Plan prihoda za unos u SAP'!$K$3:$K$501,"=712")</f>
        <v>0</v>
      </c>
      <c r="L109" s="202">
        <f>SUMIFS('Plan prihoda za unos u SAP'!$I$3:$I$501,'Plan prihoda za unos u SAP'!$C$3:$C$501,"=559",'Plan prihoda za unos u SAP'!$K$3:$K$501,"=712")</f>
        <v>0</v>
      </c>
      <c r="M109" s="202">
        <f>SUMIFS('Plan prihoda za unos u SAP'!$I$3:$I$501,'Plan prihoda za unos u SAP'!$C$3:$C$501,"=561",'Plan prihoda za unos u SAP'!$K$3:$K$501,"=712")</f>
        <v>0</v>
      </c>
      <c r="N109" s="202">
        <f>SUMIFS('Plan prihoda za unos u SAP'!$I$3:$I$501,'Plan prihoda za unos u SAP'!$C$3:$C$501,"=563",'Plan prihoda za unos u SAP'!$K$3:$K$501,"=712")</f>
        <v>0</v>
      </c>
      <c r="O109" s="202">
        <f>SUMIFS('Plan prihoda za unos u SAP'!$I$3:$I$501,'Plan prihoda za unos u SAP'!$C$3:$C$501,"=573",'Plan prihoda za unos u SAP'!$K$3:$K$501,"=712")</f>
        <v>0</v>
      </c>
      <c r="P109" s="202">
        <f>SUMIFS('Plan prihoda za unos u SAP'!$I$3:$I$501,'Plan prihoda za unos u SAP'!$C$3:$C$501,"=575",'Plan prihoda za unos u SAP'!$K$3:$K$501,"=712")</f>
        <v>0</v>
      </c>
      <c r="Q109" s="202">
        <f>SUMIFS('Plan prihoda za unos u SAP'!$I$3:$I$501,'Plan prihoda za unos u SAP'!$C$3:$C$501,"=61",'Plan prihoda za unos u SAP'!$K$3:$K$501,"=712")</f>
        <v>0</v>
      </c>
      <c r="R109" s="202">
        <f>SUMIFS('Plan prihoda za unos u SAP'!$I$3:$I$501,'Plan prihoda za unos u SAP'!$C$3:$C$501,"=63",'Plan prihoda za unos u SAP'!$K$3:$K$501,"=712")</f>
        <v>0</v>
      </c>
      <c r="S109" s="202">
        <f>SUMIFS('Plan prihoda za unos u SAP'!$I$3:$I$501,'Plan prihoda za unos u SAP'!$C$3:$C$501,"=71",'Plan prihoda za unos u SAP'!$K$3:$K$501,"=712")</f>
        <v>0</v>
      </c>
      <c r="T109" s="202">
        <f>SUMIFS('Plan prihoda za unos u SAP'!$I$3:$I$501,'Plan prihoda za unos u SAP'!$C$3:$C$501,"=81",'Plan prihoda za unos u SAP'!$K$3:$K$501,"=712")</f>
        <v>0</v>
      </c>
      <c r="U109" s="202">
        <f>SUMIFS('Plan prihoda za unos u SAP'!$I$3:$I$501,'Plan prihoda za unos u SAP'!$C$3:$C$501,"=83",'Plan prihoda za unos u SAP'!$K$3:$K$501,"=712")</f>
        <v>0</v>
      </c>
    </row>
    <row r="110" spans="1:21" s="91" customFormat="1">
      <c r="A110" s="96" t="s">
        <v>329</v>
      </c>
      <c r="B110" s="101" t="s">
        <v>330</v>
      </c>
      <c r="C110" s="71">
        <f t="shared" si="65"/>
        <v>1000</v>
      </c>
      <c r="D110" s="202">
        <f>SUMIFS('Plan prihoda za unos u SAP'!$I$3:$I$501,'Plan prihoda za unos u SAP'!$C$3:$C$501,"=11",'Plan prihoda za unos u SAP'!$K$3:$K$501,"=721")</f>
        <v>0</v>
      </c>
      <c r="E110" s="202">
        <f>SUMIFS('Plan prihoda za unos u SAP'!$I$3:$I$501,'Plan prihoda za unos u SAP'!$C$3:$C$501,"=12",'Plan prihoda za unos u SAP'!$K$3:$K$501,"=721")</f>
        <v>0</v>
      </c>
      <c r="F110" s="202">
        <f>SUMIFS('Plan prihoda za unos u SAP'!$I$3:$I$501,'Plan prihoda za unos u SAP'!$C$3:$C$501,"=31",'Plan prihoda za unos u SAP'!$K$3:$K$501,"=721")</f>
        <v>0</v>
      </c>
      <c r="G110" s="202">
        <f>SUMIFS('Plan prihoda za unos u SAP'!$I$3:$I$501,'Plan prihoda za unos u SAP'!$C$3:$C$501,"=41",'Plan prihoda za unos u SAP'!$K$3:$K$501,"=721")</f>
        <v>0</v>
      </c>
      <c r="H110" s="202">
        <f>SUMIFS('Plan prihoda za unos u SAP'!$I$3:$I$501,'Plan prihoda za unos u SAP'!$C$3:$C$501,"=43",'Plan prihoda za unos u SAP'!$K$3:$K$501,"=721")</f>
        <v>0</v>
      </c>
      <c r="I110" s="202">
        <f>SUMIFS('Plan prihoda za unos u SAP'!$I$3:$I$501,'Plan prihoda za unos u SAP'!$C$3:$C$501,"=51",'Plan prihoda za unos u SAP'!$K$3:$K$501,"=721")</f>
        <v>0</v>
      </c>
      <c r="J110" s="202">
        <f>SUMIFS('Plan prihoda za unos u SAP'!$I$3:$I$501,'Plan prihoda za unos u SAP'!$C$3:$C$501,"=52",'Plan prihoda za unos u SAP'!$K$3:$K$501,"=721")</f>
        <v>0</v>
      </c>
      <c r="K110" s="202">
        <f>SUMIFS('Plan prihoda za unos u SAP'!$I$3:$I$501,'Plan prihoda za unos u SAP'!$C$3:$C$501,"=552",'Plan prihoda za unos u SAP'!$K$3:$K$501,"=721")</f>
        <v>0</v>
      </c>
      <c r="L110" s="202">
        <f>SUMIFS('Plan prihoda za unos u SAP'!$I$3:$I$501,'Plan prihoda za unos u SAP'!$C$3:$C$501,"=559",'Plan prihoda za unos u SAP'!$K$3:$K$501,"=721")</f>
        <v>0</v>
      </c>
      <c r="M110" s="202">
        <f>SUMIFS('Plan prihoda za unos u SAP'!$I$3:$I$501,'Plan prihoda za unos u SAP'!$C$3:$C$501,"=561",'Plan prihoda za unos u SAP'!$K$3:$K$501,"=721")</f>
        <v>0</v>
      </c>
      <c r="N110" s="202">
        <f>SUMIFS('Plan prihoda za unos u SAP'!$I$3:$I$501,'Plan prihoda za unos u SAP'!$C$3:$C$501,"=563",'Plan prihoda za unos u SAP'!$K$3:$K$501,"=721")</f>
        <v>0</v>
      </c>
      <c r="O110" s="202">
        <f>SUMIFS('Plan prihoda za unos u SAP'!$I$3:$I$501,'Plan prihoda za unos u SAP'!$C$3:$C$501,"=573",'Plan prihoda za unos u SAP'!$K$3:$K$501,"=721")</f>
        <v>0</v>
      </c>
      <c r="P110" s="202">
        <f>SUMIFS('Plan prihoda za unos u SAP'!$I$3:$I$501,'Plan prihoda za unos u SAP'!$C$3:$C$501,"=575",'Plan prihoda za unos u SAP'!$K$3:$K$501,"=721")</f>
        <v>0</v>
      </c>
      <c r="Q110" s="202">
        <f>SUMIFS('Plan prihoda za unos u SAP'!$I$3:$I$501,'Plan prihoda za unos u SAP'!$C$3:$C$501,"=61",'Plan prihoda za unos u SAP'!$K$3:$K$501,"=721")</f>
        <v>0</v>
      </c>
      <c r="R110" s="202">
        <f>SUMIFS('Plan prihoda za unos u SAP'!$I$3:$I$501,'Plan prihoda za unos u SAP'!$C$3:$C$501,"=63",'Plan prihoda za unos u SAP'!$K$3:$K$501,"=721")</f>
        <v>0</v>
      </c>
      <c r="S110" s="202">
        <f>SUMIFS('Plan prihoda za unos u SAP'!$I$3:$I$501,'Plan prihoda za unos u SAP'!$C$3:$C$501,"=71",'Plan prihoda za unos u SAP'!$K$3:$K$501,"=721")</f>
        <v>1000</v>
      </c>
      <c r="T110" s="202">
        <f>SUMIFS('Plan prihoda za unos u SAP'!$I$3:$I$501,'Plan prihoda za unos u SAP'!$C$3:$C$501,"=81",'Plan prihoda za unos u SAP'!$K$3:$K$501,"=721")</f>
        <v>0</v>
      </c>
      <c r="U110" s="202">
        <f>SUMIFS('Plan prihoda za unos u SAP'!$I$3:$I$501,'Plan prihoda za unos u SAP'!$C$3:$C$501,"=83",'Plan prihoda za unos u SAP'!$K$3:$K$501,"=721")</f>
        <v>0</v>
      </c>
    </row>
    <row r="111" spans="1:21" s="91" customFormat="1">
      <c r="A111" s="96" t="s">
        <v>331</v>
      </c>
      <c r="B111" s="101" t="s">
        <v>332</v>
      </c>
      <c r="C111" s="71">
        <f t="shared" si="65"/>
        <v>0</v>
      </c>
      <c r="D111" s="202">
        <f>SUMIFS('Plan prihoda za unos u SAP'!$I$3:$I$501,'Plan prihoda za unos u SAP'!$C$3:$C$501,"=11",'Plan prihoda za unos u SAP'!$K$3:$K$501,"=722")</f>
        <v>0</v>
      </c>
      <c r="E111" s="202">
        <f>SUMIFS('Plan prihoda za unos u SAP'!$I$3:$I$501,'Plan prihoda za unos u SAP'!$C$3:$C$501,"=12",'Plan prihoda za unos u SAP'!$K$3:$K$501,"=722")</f>
        <v>0</v>
      </c>
      <c r="F111" s="202">
        <f>SUMIFS('Plan prihoda za unos u SAP'!$I$3:$I$501,'Plan prihoda za unos u SAP'!$C$3:$C$501,"=31",'Plan prihoda za unos u SAP'!$K$3:$K$501,"=722")</f>
        <v>0</v>
      </c>
      <c r="G111" s="202">
        <f>SUMIFS('Plan prihoda za unos u SAP'!$I$3:$I$501,'Plan prihoda za unos u SAP'!$C$3:$C$501,"=41",'Plan prihoda za unos u SAP'!$K$3:$K$501,"=722")</f>
        <v>0</v>
      </c>
      <c r="H111" s="202">
        <f>SUMIFS('Plan prihoda za unos u SAP'!$I$3:$I$501,'Plan prihoda za unos u SAP'!$C$3:$C$501,"=43",'Plan prihoda za unos u SAP'!$K$3:$K$501,"=722")</f>
        <v>0</v>
      </c>
      <c r="I111" s="202">
        <f>SUMIFS('Plan prihoda za unos u SAP'!$I$3:$I$501,'Plan prihoda za unos u SAP'!$C$3:$C$501,"=51",'Plan prihoda za unos u SAP'!$K$3:$K$501,"=722")</f>
        <v>0</v>
      </c>
      <c r="J111" s="202">
        <f>SUMIFS('Plan prihoda za unos u SAP'!$I$3:$I$501,'Plan prihoda za unos u SAP'!$C$3:$C$501,"=52",'Plan prihoda za unos u SAP'!$K$3:$K$501,"=722")</f>
        <v>0</v>
      </c>
      <c r="K111" s="202">
        <f>SUMIFS('Plan prihoda za unos u SAP'!$I$3:$I$501,'Plan prihoda za unos u SAP'!$C$3:$C$501,"=552",'Plan prihoda za unos u SAP'!$K$3:$K$501,"=722")</f>
        <v>0</v>
      </c>
      <c r="L111" s="202">
        <f>SUMIFS('Plan prihoda za unos u SAP'!$I$3:$I$501,'Plan prihoda za unos u SAP'!$C$3:$C$501,"=559",'Plan prihoda za unos u SAP'!$K$3:$K$501,"=722")</f>
        <v>0</v>
      </c>
      <c r="M111" s="202">
        <f>SUMIFS('Plan prihoda za unos u SAP'!$I$3:$I$501,'Plan prihoda za unos u SAP'!$C$3:$C$501,"=561",'Plan prihoda za unos u SAP'!$K$3:$K$501,"=722")</f>
        <v>0</v>
      </c>
      <c r="N111" s="202">
        <f>SUMIFS('Plan prihoda za unos u SAP'!$I$3:$I$501,'Plan prihoda za unos u SAP'!$C$3:$C$501,"=563",'Plan prihoda za unos u SAP'!$K$3:$K$501,"=722")</f>
        <v>0</v>
      </c>
      <c r="O111" s="202">
        <f>SUMIFS('Plan prihoda za unos u SAP'!$I$3:$I$501,'Plan prihoda za unos u SAP'!$C$3:$C$501,"=573",'Plan prihoda za unos u SAP'!$K$3:$K$501,"=722")</f>
        <v>0</v>
      </c>
      <c r="P111" s="202">
        <f>SUMIFS('Plan prihoda za unos u SAP'!$I$3:$I$501,'Plan prihoda za unos u SAP'!$C$3:$C$501,"=575",'Plan prihoda za unos u SAP'!$K$3:$K$501,"=722")</f>
        <v>0</v>
      </c>
      <c r="Q111" s="202">
        <f>SUMIFS('Plan prihoda za unos u SAP'!$I$3:$I$501,'Plan prihoda za unos u SAP'!$C$3:$C$501,"=61",'Plan prihoda za unos u SAP'!$K$3:$K$501,"=722")</f>
        <v>0</v>
      </c>
      <c r="R111" s="202">
        <f>SUMIFS('Plan prihoda za unos u SAP'!$I$3:$I$501,'Plan prihoda za unos u SAP'!$C$3:$C$501,"=63",'Plan prihoda za unos u SAP'!$K$3:$K$501,"=722")</f>
        <v>0</v>
      </c>
      <c r="S111" s="202">
        <f>SUMIFS('Plan prihoda za unos u SAP'!$I$3:$I$501,'Plan prihoda za unos u SAP'!$C$3:$C$501,"=71",'Plan prihoda za unos u SAP'!$K$3:$K$501,"=722")</f>
        <v>0</v>
      </c>
      <c r="T111" s="202">
        <f>SUMIFS('Plan prihoda za unos u SAP'!$I$3:$I$501,'Plan prihoda za unos u SAP'!$C$3:$C$501,"=81",'Plan prihoda za unos u SAP'!$K$3:$K$501,"=722")</f>
        <v>0</v>
      </c>
      <c r="U111" s="202">
        <f>SUMIFS('Plan prihoda za unos u SAP'!$I$3:$I$501,'Plan prihoda za unos u SAP'!$C$3:$C$501,"=83",'Plan prihoda za unos u SAP'!$K$3:$K$501,"=722")</f>
        <v>0</v>
      </c>
    </row>
    <row r="112" spans="1:21" s="91" customFormat="1">
      <c r="A112" s="96" t="s">
        <v>333</v>
      </c>
      <c r="B112" s="101" t="s">
        <v>334</v>
      </c>
      <c r="C112" s="71">
        <f t="shared" si="65"/>
        <v>0</v>
      </c>
      <c r="D112" s="202">
        <f>SUMIFS('Plan prihoda za unos u SAP'!$I$3:$I$501,'Plan prihoda za unos u SAP'!$C$3:$C$501,"=11",'Plan prihoda za unos u SAP'!$K$3:$K$501,"=723")</f>
        <v>0</v>
      </c>
      <c r="E112" s="202">
        <f>SUMIFS('Plan prihoda za unos u SAP'!$I$3:$I$501,'Plan prihoda za unos u SAP'!$C$3:$C$501,"=12",'Plan prihoda za unos u SAP'!$K$3:$K$501,"=723")</f>
        <v>0</v>
      </c>
      <c r="F112" s="202">
        <f>SUMIFS('Plan prihoda za unos u SAP'!$I$3:$I$501,'Plan prihoda za unos u SAP'!$C$3:$C$501,"=31",'Plan prihoda za unos u SAP'!$K$3:$K$501,"=723")</f>
        <v>0</v>
      </c>
      <c r="G112" s="202">
        <f>SUMIFS('Plan prihoda za unos u SAP'!$I$3:$I$501,'Plan prihoda za unos u SAP'!$C$3:$C$501,"=41",'Plan prihoda za unos u SAP'!$K$3:$K$501,"=723")</f>
        <v>0</v>
      </c>
      <c r="H112" s="202">
        <f>SUMIFS('Plan prihoda za unos u SAP'!$I$3:$I$501,'Plan prihoda za unos u SAP'!$C$3:$C$501,"=43",'Plan prihoda za unos u SAP'!$K$3:$K$501,"=723")</f>
        <v>0</v>
      </c>
      <c r="I112" s="202">
        <f>SUMIFS('Plan prihoda za unos u SAP'!$I$3:$I$501,'Plan prihoda za unos u SAP'!$C$3:$C$501,"=51",'Plan prihoda za unos u SAP'!$K$3:$K$501,"=723")</f>
        <v>0</v>
      </c>
      <c r="J112" s="202">
        <f>SUMIFS('Plan prihoda za unos u SAP'!$I$3:$I$501,'Plan prihoda za unos u SAP'!$C$3:$C$501,"=52",'Plan prihoda za unos u SAP'!$K$3:$K$501,"=723")</f>
        <v>0</v>
      </c>
      <c r="K112" s="202">
        <f>SUMIFS('Plan prihoda za unos u SAP'!$I$3:$I$501,'Plan prihoda za unos u SAP'!$C$3:$C$501,"=552",'Plan prihoda za unos u SAP'!$K$3:$K$501,"=723")</f>
        <v>0</v>
      </c>
      <c r="L112" s="202">
        <f>SUMIFS('Plan prihoda za unos u SAP'!$I$3:$I$501,'Plan prihoda za unos u SAP'!$C$3:$C$501,"=559",'Plan prihoda za unos u SAP'!$K$3:$K$501,"=723")</f>
        <v>0</v>
      </c>
      <c r="M112" s="202">
        <f>SUMIFS('Plan prihoda za unos u SAP'!$I$3:$I$501,'Plan prihoda za unos u SAP'!$C$3:$C$501,"=561",'Plan prihoda za unos u SAP'!$K$3:$K$501,"=723")</f>
        <v>0</v>
      </c>
      <c r="N112" s="202">
        <f>SUMIFS('Plan prihoda za unos u SAP'!$I$3:$I$501,'Plan prihoda za unos u SAP'!$C$3:$C$501,"=563",'Plan prihoda za unos u SAP'!$K$3:$K$501,"=723")</f>
        <v>0</v>
      </c>
      <c r="O112" s="202">
        <f>SUMIFS('Plan prihoda za unos u SAP'!$I$3:$I$501,'Plan prihoda za unos u SAP'!$C$3:$C$501,"=573",'Plan prihoda za unos u SAP'!$K$3:$K$501,"=723")</f>
        <v>0</v>
      </c>
      <c r="P112" s="202">
        <f>SUMIFS('Plan prihoda za unos u SAP'!$I$3:$I$501,'Plan prihoda za unos u SAP'!$C$3:$C$501,"=575",'Plan prihoda za unos u SAP'!$K$3:$K$501,"=723")</f>
        <v>0</v>
      </c>
      <c r="Q112" s="202">
        <f>SUMIFS('Plan prihoda za unos u SAP'!$I$3:$I$501,'Plan prihoda za unos u SAP'!$C$3:$C$501,"=61",'Plan prihoda za unos u SAP'!$K$3:$K$501,"=723")</f>
        <v>0</v>
      </c>
      <c r="R112" s="202">
        <f>SUMIFS('Plan prihoda za unos u SAP'!$I$3:$I$501,'Plan prihoda za unos u SAP'!$C$3:$C$501,"=63",'Plan prihoda za unos u SAP'!$K$3:$K$501,"=723")</f>
        <v>0</v>
      </c>
      <c r="S112" s="202">
        <f>SUMIFS('Plan prihoda za unos u SAP'!$I$3:$I$501,'Plan prihoda za unos u SAP'!$C$3:$C$501,"=71",'Plan prihoda za unos u SAP'!$K$3:$K$501,"=723")</f>
        <v>0</v>
      </c>
      <c r="T112" s="202">
        <f>SUMIFS('Plan prihoda za unos u SAP'!$I$3:$I$501,'Plan prihoda za unos u SAP'!$C$3:$C$501,"=81",'Plan prihoda za unos u SAP'!$K$3:$K$501,"=723")</f>
        <v>0</v>
      </c>
      <c r="U112" s="202">
        <f>SUMIFS('Plan prihoda za unos u SAP'!$I$3:$I$501,'Plan prihoda za unos u SAP'!$C$3:$C$501,"=83",'Plan prihoda za unos u SAP'!$K$3:$K$501,"=723")</f>
        <v>0</v>
      </c>
    </row>
    <row r="113" spans="1:21" s="91" customFormat="1">
      <c r="A113" s="96" t="s">
        <v>344</v>
      </c>
      <c r="B113" s="101" t="s">
        <v>345</v>
      </c>
      <c r="C113" s="71">
        <f t="shared" si="65"/>
        <v>0</v>
      </c>
      <c r="D113" s="202">
        <f>SUMIFS('Plan prihoda za unos u SAP'!$I$3:$I$501,'Plan prihoda za unos u SAP'!$C$3:$C$501,"=11",'Plan prihoda za unos u SAP'!$K$3:$K$501,"=725")</f>
        <v>0</v>
      </c>
      <c r="E113" s="202">
        <f>SUMIFS('Plan prihoda za unos u SAP'!$I$3:$I$501,'Plan prihoda za unos u SAP'!$C$3:$C$501,"=12",'Plan prihoda za unos u SAP'!$K$3:$K$501,"=725")</f>
        <v>0</v>
      </c>
      <c r="F113" s="202">
        <f>SUMIFS('Plan prihoda za unos u SAP'!$I$3:$I$501,'Plan prihoda za unos u SAP'!$C$3:$C$501,"=31",'Plan prihoda za unos u SAP'!$K$3:$K$501,"=725")</f>
        <v>0</v>
      </c>
      <c r="G113" s="202">
        <f>SUMIFS('Plan prihoda za unos u SAP'!$I$3:$I$501,'Plan prihoda za unos u SAP'!$C$3:$C$501,"=41",'Plan prihoda za unos u SAP'!$K$3:$K$501,"=725")</f>
        <v>0</v>
      </c>
      <c r="H113" s="202">
        <f>SUMIFS('Plan prihoda za unos u SAP'!$I$3:$I$501,'Plan prihoda za unos u SAP'!$C$3:$C$501,"=43",'Plan prihoda za unos u SAP'!$K$3:$K$501,"=725")</f>
        <v>0</v>
      </c>
      <c r="I113" s="202">
        <f>SUMIFS('Plan prihoda za unos u SAP'!$I$3:$I$501,'Plan prihoda za unos u SAP'!$C$3:$C$501,"=51",'Plan prihoda za unos u SAP'!$K$3:$K$501,"=725")</f>
        <v>0</v>
      </c>
      <c r="J113" s="202">
        <f>SUMIFS('Plan prihoda za unos u SAP'!$I$3:$I$501,'Plan prihoda za unos u SAP'!$C$3:$C$501,"=52",'Plan prihoda za unos u SAP'!$K$3:$K$501,"=725")</f>
        <v>0</v>
      </c>
      <c r="K113" s="202">
        <f>SUMIFS('Plan prihoda za unos u SAP'!$I$3:$I$501,'Plan prihoda za unos u SAP'!$C$3:$C$501,"=552",'Plan prihoda za unos u SAP'!$K$3:$K$501,"=725")</f>
        <v>0</v>
      </c>
      <c r="L113" s="202">
        <f>SUMIFS('Plan prihoda za unos u SAP'!$I$3:$I$501,'Plan prihoda za unos u SAP'!$C$3:$C$501,"=559",'Plan prihoda za unos u SAP'!$K$3:$K$501,"=725")</f>
        <v>0</v>
      </c>
      <c r="M113" s="202">
        <f>SUMIFS('Plan prihoda za unos u SAP'!$I$3:$I$501,'Plan prihoda za unos u SAP'!$C$3:$C$501,"=561",'Plan prihoda za unos u SAP'!$K$3:$K$501,"=725")</f>
        <v>0</v>
      </c>
      <c r="N113" s="202">
        <f>SUMIFS('Plan prihoda za unos u SAP'!$I$3:$I$501,'Plan prihoda za unos u SAP'!$C$3:$C$501,"=563",'Plan prihoda za unos u SAP'!$K$3:$K$501,"=725")</f>
        <v>0</v>
      </c>
      <c r="O113" s="202">
        <f>SUMIFS('Plan prihoda za unos u SAP'!$I$3:$I$501,'Plan prihoda za unos u SAP'!$C$3:$C$501,"=573",'Plan prihoda za unos u SAP'!$K$3:$K$501,"=725")</f>
        <v>0</v>
      </c>
      <c r="P113" s="202">
        <f>SUMIFS('Plan prihoda za unos u SAP'!$I$3:$I$501,'Plan prihoda za unos u SAP'!$C$3:$C$501,"=575",'Plan prihoda za unos u SAP'!$K$3:$K$501,"=725")</f>
        <v>0</v>
      </c>
      <c r="Q113" s="202">
        <f>SUMIFS('Plan prihoda za unos u SAP'!$I$3:$I$501,'Plan prihoda za unos u SAP'!$C$3:$C$501,"=61",'Plan prihoda za unos u SAP'!$K$3:$K$501,"=725")</f>
        <v>0</v>
      </c>
      <c r="R113" s="202">
        <f>SUMIFS('Plan prihoda za unos u SAP'!$I$3:$I$501,'Plan prihoda za unos u SAP'!$C$3:$C$501,"=63",'Plan prihoda za unos u SAP'!$K$3:$K$501,"=725")</f>
        <v>0</v>
      </c>
      <c r="S113" s="202">
        <f>SUMIFS('Plan prihoda za unos u SAP'!$I$3:$I$501,'Plan prihoda za unos u SAP'!$C$3:$C$501,"=71",'Plan prihoda za unos u SAP'!$K$3:$K$501,"=725")</f>
        <v>0</v>
      </c>
      <c r="T113" s="202">
        <f>SUMIFS('Plan prihoda za unos u SAP'!$I$3:$I$501,'Plan prihoda za unos u SAP'!$C$3:$C$501,"=81",'Plan prihoda za unos u SAP'!$K$3:$K$501,"=725")</f>
        <v>0</v>
      </c>
      <c r="U113" s="202">
        <f>SUMIFS('Plan prihoda za unos u SAP'!$I$3:$I$501,'Plan prihoda za unos u SAP'!$C$3:$C$501,"=83",'Plan prihoda za unos u SAP'!$K$3:$K$501,"=725")</f>
        <v>0</v>
      </c>
    </row>
    <row r="114" spans="1:21" s="91" customFormat="1">
      <c r="A114" s="99" t="s">
        <v>335</v>
      </c>
      <c r="B114" s="100" t="s">
        <v>328</v>
      </c>
      <c r="C114" s="71">
        <f t="shared" si="65"/>
        <v>1000</v>
      </c>
      <c r="D114" s="4">
        <f t="shared" ref="D114:T114" si="82">SUM(D108:D113)</f>
        <v>0</v>
      </c>
      <c r="E114" s="4">
        <f t="shared" si="82"/>
        <v>0</v>
      </c>
      <c r="F114" s="4">
        <f t="shared" si="82"/>
        <v>0</v>
      </c>
      <c r="G114" s="4">
        <f t="shared" ref="G114" si="83">SUM(G108:G113)</f>
        <v>0</v>
      </c>
      <c r="H114" s="4">
        <f t="shared" si="82"/>
        <v>0</v>
      </c>
      <c r="I114" s="4">
        <f t="shared" si="82"/>
        <v>0</v>
      </c>
      <c r="J114" s="4">
        <f t="shared" si="82"/>
        <v>0</v>
      </c>
      <c r="K114" s="4">
        <f t="shared" ref="K114" si="84">SUM(K108:K113)</f>
        <v>0</v>
      </c>
      <c r="L114" s="4">
        <f t="shared" si="82"/>
        <v>0</v>
      </c>
      <c r="M114" s="4">
        <f t="shared" si="82"/>
        <v>0</v>
      </c>
      <c r="N114" s="4">
        <f t="shared" si="82"/>
        <v>0</v>
      </c>
      <c r="O114" s="4">
        <f t="shared" ref="O114:P114" si="85">SUM(O108:O113)</f>
        <v>0</v>
      </c>
      <c r="P114" s="4">
        <f t="shared" si="85"/>
        <v>0</v>
      </c>
      <c r="Q114" s="4">
        <f t="shared" si="82"/>
        <v>0</v>
      </c>
      <c r="R114" s="4">
        <f t="shared" si="82"/>
        <v>0</v>
      </c>
      <c r="S114" s="4">
        <f t="shared" si="82"/>
        <v>1000</v>
      </c>
      <c r="T114" s="4">
        <f t="shared" si="82"/>
        <v>0</v>
      </c>
      <c r="U114" s="4">
        <f t="shared" ref="U114" si="86">SUM(U108:U113)</f>
        <v>0</v>
      </c>
    </row>
    <row r="115" spans="1:21" s="91" customFormat="1" ht="25.5">
      <c r="A115" s="102">
        <v>812</v>
      </c>
      <c r="B115" s="103" t="s">
        <v>336</v>
      </c>
      <c r="C115" s="71">
        <f t="shared" si="65"/>
        <v>0</v>
      </c>
      <c r="D115" s="202">
        <f>SUMIFS('Plan prihoda za unos u SAP'!$I$3:$I$501,'Plan prihoda za unos u SAP'!$C$3:$C$501,"=11",'Plan prihoda za unos u SAP'!$K$3:$K$501,"=812")</f>
        <v>0</v>
      </c>
      <c r="E115" s="202">
        <f>SUMIFS('Plan prihoda za unos u SAP'!$I$3:$I$501,'Plan prihoda za unos u SAP'!$C$3:$C$501,"=12",'Plan prihoda za unos u SAP'!$K$3:$K$501,"=812")</f>
        <v>0</v>
      </c>
      <c r="F115" s="202">
        <f>SUMIFS('Plan prihoda za unos u SAP'!$I$3:$I$501,'Plan prihoda za unos u SAP'!$C$3:$C$501,"=31",'Plan prihoda za unos u SAP'!$K$3:$K$501,"=812")</f>
        <v>0</v>
      </c>
      <c r="G115" s="202">
        <f>SUMIFS('Plan prihoda za unos u SAP'!$I$3:$I$501,'Plan prihoda za unos u SAP'!$C$3:$C$501,"=41",'Plan prihoda za unos u SAP'!$K$3:$K$501,"=812")</f>
        <v>0</v>
      </c>
      <c r="H115" s="202">
        <f>SUMIFS('Plan prihoda za unos u SAP'!$I$3:$I$501,'Plan prihoda za unos u SAP'!$C$3:$C$501,"=43",'Plan prihoda za unos u SAP'!$K$3:$K$501,"=812")</f>
        <v>0</v>
      </c>
      <c r="I115" s="202">
        <f>SUMIFS('Plan prihoda za unos u SAP'!$I$3:$I$501,'Plan prihoda za unos u SAP'!$C$3:$C$501,"=51",'Plan prihoda za unos u SAP'!$K$3:$K$501,"=812")</f>
        <v>0</v>
      </c>
      <c r="J115" s="202">
        <f>SUMIFS('Plan prihoda za unos u SAP'!$I$3:$I$501,'Plan prihoda za unos u SAP'!$C$3:$C$501,"=52",'Plan prihoda za unos u SAP'!$K$3:$K$501,"=812")</f>
        <v>0</v>
      </c>
      <c r="K115" s="202">
        <f>SUMIFS('Plan prihoda za unos u SAP'!$I$3:$I$501,'Plan prihoda za unos u SAP'!$C$3:$C$501,"=552",'Plan prihoda za unos u SAP'!$K$3:$K$501,"=812")</f>
        <v>0</v>
      </c>
      <c r="L115" s="202">
        <f>SUMIFS('Plan prihoda za unos u SAP'!$I$3:$I$501,'Plan prihoda za unos u SAP'!$C$3:$C$501,"=559",'Plan prihoda za unos u SAP'!$K$3:$K$501,"=812")</f>
        <v>0</v>
      </c>
      <c r="M115" s="202">
        <f>SUMIFS('Plan prihoda za unos u SAP'!$I$3:$I$501,'Plan prihoda za unos u SAP'!$C$3:$C$501,"=561",'Plan prihoda za unos u SAP'!$K$3:$K$501,"=812")</f>
        <v>0</v>
      </c>
      <c r="N115" s="202">
        <f>SUMIFS('Plan prihoda za unos u SAP'!$I$3:$I$501,'Plan prihoda za unos u SAP'!$C$3:$C$501,"=563",'Plan prihoda za unos u SAP'!$K$3:$K$501,"=812")</f>
        <v>0</v>
      </c>
      <c r="O115" s="202">
        <f>SUMIFS('Plan prihoda za unos u SAP'!$I$3:$I$501,'Plan prihoda za unos u SAP'!$C$3:$C$501,"=573",'Plan prihoda za unos u SAP'!$K$3:$K$501,"=812")</f>
        <v>0</v>
      </c>
      <c r="P115" s="202">
        <f>SUMIFS('Plan prihoda za unos u SAP'!$I$3:$I$501,'Plan prihoda za unos u SAP'!$C$3:$C$501,"=575",'Plan prihoda za unos u SAP'!$K$3:$K$501,"=812")</f>
        <v>0</v>
      </c>
      <c r="Q115" s="202">
        <f>SUMIFS('Plan prihoda za unos u SAP'!$I$3:$I$501,'Plan prihoda za unos u SAP'!$C$3:$C$501,"=61",'Plan prihoda za unos u SAP'!$K$3:$K$501,"=812")</f>
        <v>0</v>
      </c>
      <c r="R115" s="202">
        <f>SUMIFS('Plan prihoda za unos u SAP'!$I$3:$I$501,'Plan prihoda za unos u SAP'!$C$3:$C$501,"=63",'Plan prihoda za unos u SAP'!$K$3:$K$501,"=812")</f>
        <v>0</v>
      </c>
      <c r="S115" s="202">
        <f>SUMIFS('Plan prihoda za unos u SAP'!$I$3:$I$501,'Plan prihoda za unos u SAP'!$C$3:$C$501,"=71",'Plan prihoda za unos u SAP'!$K$3:$K$501,"=812")</f>
        <v>0</v>
      </c>
      <c r="T115" s="202">
        <f>SUMIFS('Plan prihoda za unos u SAP'!$I$3:$I$501,'Plan prihoda za unos u SAP'!$C$3:$C$501,"=81",'Plan prihoda za unos u SAP'!$K$3:$K$501,"=812")</f>
        <v>0</v>
      </c>
      <c r="U115" s="202">
        <f>SUMIFS('Plan prihoda za unos u SAP'!$I$3:$I$501,'Plan prihoda za unos u SAP'!$C$3:$C$501,"=83",'Plan prihoda za unos u SAP'!$K$3:$K$501,"=812")</f>
        <v>0</v>
      </c>
    </row>
    <row r="116" spans="1:21" s="91" customFormat="1">
      <c r="A116" s="102">
        <v>818</v>
      </c>
      <c r="B116" s="103" t="s">
        <v>1674</v>
      </c>
      <c r="C116" s="71">
        <f t="shared" si="65"/>
        <v>0</v>
      </c>
      <c r="D116" s="202">
        <f>SUMIFS('Plan prihoda za unos u SAP'!$I$3:$I$501,'Plan prihoda za unos u SAP'!$C$3:$C$501,"=11",'Plan prihoda za unos u SAP'!$K$3:$K$501,"=818")</f>
        <v>0</v>
      </c>
      <c r="E116" s="202">
        <f>SUMIFS('Plan prihoda za unos u SAP'!$I$3:$I$501,'Plan prihoda za unos u SAP'!$C$3:$C$501,"=12",'Plan prihoda za unos u SAP'!$K$3:$K$501,"=818")</f>
        <v>0</v>
      </c>
      <c r="F116" s="202">
        <f>SUMIFS('Plan prihoda za unos u SAP'!$I$3:$I$501,'Plan prihoda za unos u SAP'!$C$3:$C$501,"=31",'Plan prihoda za unos u SAP'!$K$3:$K$501,"=818")</f>
        <v>0</v>
      </c>
      <c r="G116" s="202">
        <f>SUMIFS('Plan prihoda za unos u SAP'!$I$3:$I$501,'Plan prihoda za unos u SAP'!$C$3:$C$501,"=41",'Plan prihoda za unos u SAP'!$K$3:$K$501,"=818")</f>
        <v>0</v>
      </c>
      <c r="H116" s="202">
        <f>SUMIFS('Plan prihoda za unos u SAP'!$I$3:$I$501,'Plan prihoda za unos u SAP'!$C$3:$C$501,"=43",'Plan prihoda za unos u SAP'!$K$3:$K$501,"=818")</f>
        <v>0</v>
      </c>
      <c r="I116" s="202">
        <f>SUMIFS('Plan prihoda za unos u SAP'!$I$3:$I$501,'Plan prihoda za unos u SAP'!$C$3:$C$501,"=51",'Plan prihoda za unos u SAP'!$K$3:$K$501,"=818")</f>
        <v>0</v>
      </c>
      <c r="J116" s="202">
        <f>SUMIFS('Plan prihoda za unos u SAP'!$I$3:$I$501,'Plan prihoda za unos u SAP'!$C$3:$C$501,"=52",'Plan prihoda za unos u SAP'!$K$3:$K$501,"=818")</f>
        <v>0</v>
      </c>
      <c r="K116" s="202">
        <f>SUMIFS('Plan prihoda za unos u SAP'!$I$3:$I$501,'Plan prihoda za unos u SAP'!$C$3:$C$501,"=552",'Plan prihoda za unos u SAP'!$K$3:$K$501,"=818")</f>
        <v>0</v>
      </c>
      <c r="L116" s="202">
        <f>SUMIFS('Plan prihoda za unos u SAP'!$I$3:$I$501,'Plan prihoda za unos u SAP'!$C$3:$C$501,"=559",'Plan prihoda za unos u SAP'!$K$3:$K$501,"=818")</f>
        <v>0</v>
      </c>
      <c r="M116" s="202">
        <f>SUMIFS('Plan prihoda za unos u SAP'!$I$3:$I$501,'Plan prihoda za unos u SAP'!$C$3:$C$501,"=561",'Plan prihoda za unos u SAP'!$K$3:$K$501,"=818")</f>
        <v>0</v>
      </c>
      <c r="N116" s="202">
        <f>SUMIFS('Plan prihoda za unos u SAP'!$I$3:$I$501,'Plan prihoda za unos u SAP'!$C$3:$C$501,"=563",'Plan prihoda za unos u SAP'!$K$3:$K$501,"=818")</f>
        <v>0</v>
      </c>
      <c r="O116" s="202">
        <f>SUMIFS('Plan prihoda za unos u SAP'!$I$3:$I$501,'Plan prihoda za unos u SAP'!$C$3:$C$501,"=573",'Plan prihoda za unos u SAP'!$K$3:$K$501,"=818")</f>
        <v>0</v>
      </c>
      <c r="P116" s="202">
        <f>SUMIFS('Plan prihoda za unos u SAP'!$I$3:$I$501,'Plan prihoda za unos u SAP'!$C$3:$C$501,"=575",'Plan prihoda za unos u SAP'!$K$3:$K$501,"=818")</f>
        <v>0</v>
      </c>
      <c r="Q116" s="202">
        <f>SUMIFS('Plan prihoda za unos u SAP'!$I$3:$I$501,'Plan prihoda za unos u SAP'!$C$3:$C$501,"=61",'Plan prihoda za unos u SAP'!$K$3:$K$501,"=818")</f>
        <v>0</v>
      </c>
      <c r="R116" s="202">
        <f>SUMIFS('Plan prihoda za unos u SAP'!$I$3:$I$501,'Plan prihoda za unos u SAP'!$C$3:$C$501,"=63",'Plan prihoda za unos u SAP'!$K$3:$K$501,"=818")</f>
        <v>0</v>
      </c>
      <c r="S116" s="202">
        <f>SUMIFS('Plan prihoda za unos u SAP'!$I$3:$I$501,'Plan prihoda za unos u SAP'!$C$3:$C$501,"=71",'Plan prihoda za unos u SAP'!$K$3:$K$501,"=818")</f>
        <v>0</v>
      </c>
      <c r="T116" s="202">
        <f>SUMIFS('Plan prihoda za unos u SAP'!$I$3:$I$501,'Plan prihoda za unos u SAP'!$C$3:$C$501,"=81",'Plan prihoda za unos u SAP'!$K$3:$K$501,"=818")</f>
        <v>0</v>
      </c>
      <c r="U116" s="202">
        <f>SUMIFS('Plan prihoda za unos u SAP'!$I$3:$I$501,'Plan prihoda za unos u SAP'!$C$3:$C$501,"=83",'Plan prihoda za unos u SAP'!$K$3:$K$501,"=818")</f>
        <v>0</v>
      </c>
    </row>
    <row r="117" spans="1:21" s="91" customFormat="1">
      <c r="A117" s="102">
        <v>832</v>
      </c>
      <c r="B117" s="103" t="s">
        <v>1675</v>
      </c>
      <c r="C117" s="71">
        <f t="shared" si="65"/>
        <v>0</v>
      </c>
      <c r="D117" s="202">
        <f>SUMIFS('Plan prihoda za unos u SAP'!$I$3:$I$501,'Plan prihoda za unos u SAP'!$C$3:$C$501,"=11",'Plan prihoda za unos u SAP'!$K$3:$K$501,"=832")</f>
        <v>0</v>
      </c>
      <c r="E117" s="202">
        <f>SUMIFS('Plan prihoda za unos u SAP'!$I$3:$I$501,'Plan prihoda za unos u SAP'!$C$3:$C$501,"=12",'Plan prihoda za unos u SAP'!$K$3:$K$501,"=832")</f>
        <v>0</v>
      </c>
      <c r="F117" s="202">
        <f>SUMIFS('Plan prihoda za unos u SAP'!$I$3:$I$501,'Plan prihoda za unos u SAP'!$C$3:$C$501,"=31",'Plan prihoda za unos u SAP'!$K$3:$K$501,"=832")</f>
        <v>0</v>
      </c>
      <c r="G117" s="202">
        <f>SUMIFS('Plan prihoda za unos u SAP'!$I$3:$I$501,'Plan prihoda za unos u SAP'!$C$3:$C$501,"=41",'Plan prihoda za unos u SAP'!$K$3:$K$501,"=832")</f>
        <v>0</v>
      </c>
      <c r="H117" s="202">
        <f>SUMIFS('Plan prihoda za unos u SAP'!$I$3:$I$501,'Plan prihoda za unos u SAP'!$C$3:$C$501,"=43",'Plan prihoda za unos u SAP'!$K$3:$K$501,"=832")</f>
        <v>0</v>
      </c>
      <c r="I117" s="202">
        <f>SUMIFS('Plan prihoda za unos u SAP'!$I$3:$I$501,'Plan prihoda za unos u SAP'!$C$3:$C$501,"=51",'Plan prihoda za unos u SAP'!$K$3:$K$501,"=832")</f>
        <v>0</v>
      </c>
      <c r="J117" s="202">
        <f>SUMIFS('Plan prihoda za unos u SAP'!$I$3:$I$501,'Plan prihoda za unos u SAP'!$C$3:$C$501,"=52",'Plan prihoda za unos u SAP'!$K$3:$K$501,"=832")</f>
        <v>0</v>
      </c>
      <c r="K117" s="202">
        <f>SUMIFS('Plan prihoda za unos u SAP'!$I$3:$I$501,'Plan prihoda za unos u SAP'!$C$3:$C$501,"=552",'Plan prihoda za unos u SAP'!$K$3:$K$501,"=832")</f>
        <v>0</v>
      </c>
      <c r="L117" s="202">
        <f>SUMIFS('Plan prihoda za unos u SAP'!$I$3:$I$501,'Plan prihoda za unos u SAP'!$C$3:$C$501,"=559",'Plan prihoda za unos u SAP'!$K$3:$K$501,"=832")</f>
        <v>0</v>
      </c>
      <c r="M117" s="202">
        <f>SUMIFS('Plan prihoda za unos u SAP'!$I$3:$I$501,'Plan prihoda za unos u SAP'!$C$3:$C$501,"=561",'Plan prihoda za unos u SAP'!$K$3:$K$501,"=832")</f>
        <v>0</v>
      </c>
      <c r="N117" s="202">
        <f>SUMIFS('Plan prihoda za unos u SAP'!$I$3:$I$501,'Plan prihoda za unos u SAP'!$C$3:$C$501,"=563",'Plan prihoda za unos u SAP'!$K$3:$K$501,"=832")</f>
        <v>0</v>
      </c>
      <c r="O117" s="202">
        <f>SUMIFS('Plan prihoda za unos u SAP'!$I$3:$I$501,'Plan prihoda za unos u SAP'!$C$3:$C$501,"=573",'Plan prihoda za unos u SAP'!$K$3:$K$501,"=832")</f>
        <v>0</v>
      </c>
      <c r="P117" s="202">
        <f>SUMIFS('Plan prihoda za unos u SAP'!$I$3:$I$501,'Plan prihoda za unos u SAP'!$C$3:$C$501,"=575",'Plan prihoda za unos u SAP'!$K$3:$K$501,"=832")</f>
        <v>0</v>
      </c>
      <c r="Q117" s="202">
        <f>SUMIFS('Plan prihoda za unos u SAP'!$I$3:$I$501,'Plan prihoda za unos u SAP'!$C$3:$C$501,"=61",'Plan prihoda za unos u SAP'!$K$3:$K$501,"=832")</f>
        <v>0</v>
      </c>
      <c r="R117" s="202">
        <f>SUMIFS('Plan prihoda za unos u SAP'!$I$3:$I$501,'Plan prihoda za unos u SAP'!$C$3:$C$501,"=63",'Plan prihoda za unos u SAP'!$K$3:$K$501,"=832")</f>
        <v>0</v>
      </c>
      <c r="S117" s="202">
        <f>SUMIFS('Plan prihoda za unos u SAP'!$I$3:$I$501,'Plan prihoda za unos u SAP'!$C$3:$C$501,"=71",'Plan prihoda za unos u SAP'!$K$3:$K$501,"=832")</f>
        <v>0</v>
      </c>
      <c r="T117" s="202">
        <f>SUMIFS('Plan prihoda za unos u SAP'!$I$3:$I$501,'Plan prihoda za unos u SAP'!$C$3:$C$501,"=81",'Plan prihoda za unos u SAP'!$K$3:$K$501,"=832")</f>
        <v>0</v>
      </c>
      <c r="U117" s="202">
        <f>SUMIFS('Plan prihoda za unos u SAP'!$I$3:$I$501,'Plan prihoda za unos u SAP'!$C$3:$C$501,"=83",'Plan prihoda za unos u SAP'!$K$3:$K$501,"=832")</f>
        <v>0</v>
      </c>
    </row>
    <row r="118" spans="1:21" s="91" customFormat="1" ht="25.5">
      <c r="A118" s="102">
        <v>841</v>
      </c>
      <c r="B118" s="103" t="s">
        <v>1676</v>
      </c>
      <c r="C118" s="71">
        <f t="shared" si="65"/>
        <v>0</v>
      </c>
      <c r="D118" s="202">
        <f>SUMIFS('Plan prihoda za unos u SAP'!$I$3:$I$501,'Plan prihoda za unos u SAP'!$C$3:$C$501,"=11",'Plan prihoda za unos u SAP'!$K$3:$K$501,"=841")</f>
        <v>0</v>
      </c>
      <c r="E118" s="202">
        <f>SUMIFS('Plan prihoda za unos u SAP'!$I$3:$I$501,'Plan prihoda za unos u SAP'!$C$3:$C$501,"=12",'Plan prihoda za unos u SAP'!$K$3:$K$501,"=841")</f>
        <v>0</v>
      </c>
      <c r="F118" s="202">
        <f>SUMIFS('Plan prihoda za unos u SAP'!$I$3:$I$501,'Plan prihoda za unos u SAP'!$C$3:$C$501,"=31",'Plan prihoda za unos u SAP'!$K$3:$K$501,"=841")</f>
        <v>0</v>
      </c>
      <c r="G118" s="202">
        <f>SUMIFS('Plan prihoda za unos u SAP'!$I$3:$I$501,'Plan prihoda za unos u SAP'!$C$3:$C$501,"=41",'Plan prihoda za unos u SAP'!$K$3:$K$501,"=841")</f>
        <v>0</v>
      </c>
      <c r="H118" s="202">
        <f>SUMIFS('Plan prihoda za unos u SAP'!$I$3:$I$501,'Plan prihoda za unos u SAP'!$C$3:$C$501,"=43",'Plan prihoda za unos u SAP'!$K$3:$K$501,"=841")</f>
        <v>0</v>
      </c>
      <c r="I118" s="202">
        <f>SUMIFS('Plan prihoda za unos u SAP'!$I$3:$I$501,'Plan prihoda za unos u SAP'!$C$3:$C$501,"=51",'Plan prihoda za unos u SAP'!$K$3:$K$501,"=841")</f>
        <v>0</v>
      </c>
      <c r="J118" s="202">
        <f>SUMIFS('Plan prihoda za unos u SAP'!$I$3:$I$501,'Plan prihoda za unos u SAP'!$C$3:$C$501,"=52",'Plan prihoda za unos u SAP'!$K$3:$K$501,"=841")</f>
        <v>0</v>
      </c>
      <c r="K118" s="202">
        <f>SUMIFS('Plan prihoda za unos u SAP'!$I$3:$I$501,'Plan prihoda za unos u SAP'!$C$3:$C$501,"=552",'Plan prihoda za unos u SAP'!$K$3:$K$501,"=841")</f>
        <v>0</v>
      </c>
      <c r="L118" s="202">
        <f>SUMIFS('Plan prihoda za unos u SAP'!$I$3:$I$501,'Plan prihoda za unos u SAP'!$C$3:$C$501,"=559",'Plan prihoda za unos u SAP'!$K$3:$K$501,"=841")</f>
        <v>0</v>
      </c>
      <c r="M118" s="202">
        <f>SUMIFS('Plan prihoda za unos u SAP'!$I$3:$I$501,'Plan prihoda za unos u SAP'!$C$3:$C$501,"=561",'Plan prihoda za unos u SAP'!$K$3:$K$501,"=841")</f>
        <v>0</v>
      </c>
      <c r="N118" s="202">
        <f>SUMIFS('Plan prihoda za unos u SAP'!$I$3:$I$501,'Plan prihoda za unos u SAP'!$C$3:$C$501,"=563",'Plan prihoda za unos u SAP'!$K$3:$K$501,"=841")</f>
        <v>0</v>
      </c>
      <c r="O118" s="202">
        <f>SUMIFS('Plan prihoda za unos u SAP'!$I$3:$I$501,'Plan prihoda za unos u SAP'!$C$3:$C$501,"=573",'Plan prihoda za unos u SAP'!$K$3:$K$501,"=841")</f>
        <v>0</v>
      </c>
      <c r="P118" s="202">
        <f>SUMIFS('Plan prihoda za unos u SAP'!$I$3:$I$501,'Plan prihoda za unos u SAP'!$C$3:$C$501,"=575",'Plan prihoda za unos u SAP'!$K$3:$K$501,"=841")</f>
        <v>0</v>
      </c>
      <c r="Q118" s="202">
        <f>SUMIFS('Plan prihoda za unos u SAP'!$I$3:$I$501,'Plan prihoda za unos u SAP'!$C$3:$C$501,"=61",'Plan prihoda za unos u SAP'!$K$3:$K$501,"=841")</f>
        <v>0</v>
      </c>
      <c r="R118" s="202">
        <f>SUMIFS('Plan prihoda za unos u SAP'!$I$3:$I$501,'Plan prihoda za unos u SAP'!$C$3:$C$501,"=63",'Plan prihoda za unos u SAP'!$K$3:$K$501,"=841")</f>
        <v>0</v>
      </c>
      <c r="S118" s="202">
        <f>SUMIFS('Plan prihoda za unos u SAP'!$I$3:$I$501,'Plan prihoda za unos u SAP'!$C$3:$C$501,"=71",'Plan prihoda za unos u SAP'!$K$3:$K$501,"=841")</f>
        <v>0</v>
      </c>
      <c r="T118" s="202">
        <f>SUMIFS('Plan prihoda za unos u SAP'!$I$3:$I$501,'Plan prihoda za unos u SAP'!$C$3:$C$501,"=81",'Plan prihoda za unos u SAP'!$K$3:$K$501,"=841")</f>
        <v>0</v>
      </c>
      <c r="U118" s="202">
        <f>SUMIFS('Plan prihoda za unos u SAP'!$I$3:$I$501,'Plan prihoda za unos u SAP'!$C$3:$C$501,"=83",'Plan prihoda za unos u SAP'!$K$3:$K$501,"=841")</f>
        <v>0</v>
      </c>
    </row>
    <row r="119" spans="1:21" s="91" customFormat="1" ht="25.5">
      <c r="A119" s="102">
        <v>842</v>
      </c>
      <c r="B119" s="103" t="s">
        <v>346</v>
      </c>
      <c r="C119" s="71">
        <f>SUM(D119:U119)</f>
        <v>0</v>
      </c>
      <c r="D119" s="202">
        <f>SUMIFS('Plan prihoda za unos u SAP'!$I$3:$I$501,'Plan prihoda za unos u SAP'!$C$3:$C$501,"=11",'Plan prihoda za unos u SAP'!$K$3:$K$501,"=841")</f>
        <v>0</v>
      </c>
      <c r="E119" s="202">
        <f>SUMIFS('Plan prihoda za unos u SAP'!$I$3:$I$501,'Plan prihoda za unos u SAP'!$C$3:$C$501,"=12",'Plan prihoda za unos u SAP'!$K$3:$K$501,"=841")</f>
        <v>0</v>
      </c>
      <c r="F119" s="202">
        <f>SUMIFS('Plan prihoda za unos u SAP'!$I$3:$I$501,'Plan prihoda za unos u SAP'!$C$3:$C$501,"=31",'Plan prihoda za unos u SAP'!$K$3:$K$501,"=841")</f>
        <v>0</v>
      </c>
      <c r="G119" s="202">
        <f>SUMIFS('Plan prihoda za unos u SAP'!$I$3:$I$501,'Plan prihoda za unos u SAP'!$C$3:$C$501,"=41",'Plan prihoda za unos u SAP'!$K$3:$K$501,"=841")</f>
        <v>0</v>
      </c>
      <c r="H119" s="202">
        <f>SUMIFS('Plan prihoda za unos u SAP'!$I$3:$I$501,'Plan prihoda za unos u SAP'!$C$3:$C$501,"=43",'Plan prihoda za unos u SAP'!$K$3:$K$501,"=841")</f>
        <v>0</v>
      </c>
      <c r="I119" s="202">
        <f>SUMIFS('Plan prihoda za unos u SAP'!$I$3:$I$501,'Plan prihoda za unos u SAP'!$C$3:$C$501,"=51",'Plan prihoda za unos u SAP'!$K$3:$K$501,"=841")</f>
        <v>0</v>
      </c>
      <c r="J119" s="202">
        <f>SUMIFS('Plan prihoda za unos u SAP'!$I$3:$I$501,'Plan prihoda za unos u SAP'!$C$3:$C$501,"=52",'Plan prihoda za unos u SAP'!$K$3:$K$501,"=841")</f>
        <v>0</v>
      </c>
      <c r="K119" s="202">
        <f>SUMIFS('Plan prihoda za unos u SAP'!$I$3:$I$501,'Plan prihoda za unos u SAP'!$C$3:$C$501,"=552",'Plan prihoda za unos u SAP'!$K$3:$K$501,"=841")</f>
        <v>0</v>
      </c>
      <c r="L119" s="202">
        <f>SUMIFS('Plan prihoda za unos u SAP'!$I$3:$I$501,'Plan prihoda za unos u SAP'!$C$3:$C$501,"=559",'Plan prihoda za unos u SAP'!$K$3:$K$501,"=841")</f>
        <v>0</v>
      </c>
      <c r="M119" s="202">
        <f>SUMIFS('Plan prihoda za unos u SAP'!$I$3:$I$501,'Plan prihoda za unos u SAP'!$C$3:$C$501,"=561",'Plan prihoda za unos u SAP'!$K$3:$K$501,"=841")</f>
        <v>0</v>
      </c>
      <c r="N119" s="202">
        <f>SUMIFS('Plan prihoda za unos u SAP'!$I$3:$I$501,'Plan prihoda za unos u SAP'!$C$3:$C$501,"=563",'Plan prihoda za unos u SAP'!$K$3:$K$501,"=841")</f>
        <v>0</v>
      </c>
      <c r="O119" s="202">
        <f>SUMIFS('Plan prihoda za unos u SAP'!$I$3:$I$501,'Plan prihoda za unos u SAP'!$C$3:$C$501,"=573",'Plan prihoda za unos u SAP'!$K$3:$K$501,"=841")</f>
        <v>0</v>
      </c>
      <c r="P119" s="202">
        <f>SUMIFS('Plan prihoda za unos u SAP'!$I$3:$I$501,'Plan prihoda za unos u SAP'!$C$3:$C$501,"=575",'Plan prihoda za unos u SAP'!$K$3:$K$501,"=841")</f>
        <v>0</v>
      </c>
      <c r="Q119" s="202">
        <f>SUMIFS('Plan prihoda za unos u SAP'!$I$3:$I$501,'Plan prihoda za unos u SAP'!$C$3:$C$501,"=61",'Plan prihoda za unos u SAP'!$K$3:$K$501,"=841")</f>
        <v>0</v>
      </c>
      <c r="R119" s="202">
        <f>SUMIFS('Plan prihoda za unos u SAP'!$I$3:$I$501,'Plan prihoda za unos u SAP'!$C$3:$C$501,"=63",'Plan prihoda za unos u SAP'!$K$3:$K$501,"=841")</f>
        <v>0</v>
      </c>
      <c r="S119" s="202">
        <f>SUMIFS('Plan prihoda za unos u SAP'!$I$3:$I$501,'Plan prihoda za unos u SAP'!$C$3:$C$501,"=71",'Plan prihoda za unos u SAP'!$K$3:$K$501,"=841")</f>
        <v>0</v>
      </c>
      <c r="T119" s="202">
        <f>SUMIFS('Plan prihoda za unos u SAP'!$I$3:$I$501,'Plan prihoda za unos u SAP'!$C$3:$C$501,"=81",'Plan prihoda za unos u SAP'!$K$3:$K$501,"=841")</f>
        <v>0</v>
      </c>
      <c r="U119" s="202">
        <f>SUMIFS('Plan prihoda za unos u SAP'!$I$3:$I$501,'Plan prihoda za unos u SAP'!$C$3:$C$501,"=83",'Plan prihoda za unos u SAP'!$K$3:$K$501,"=841")</f>
        <v>0</v>
      </c>
    </row>
    <row r="120" spans="1:21" s="91" customFormat="1">
      <c r="A120" s="99" t="s">
        <v>337</v>
      </c>
      <c r="B120" s="100" t="s">
        <v>328</v>
      </c>
      <c r="C120" s="71">
        <f t="shared" si="65"/>
        <v>0</v>
      </c>
      <c r="D120" s="4">
        <f>SUM(D115:D119)</f>
        <v>0</v>
      </c>
      <c r="E120" s="4">
        <f t="shared" ref="E120:T120" si="87">SUM(E115:E119)</f>
        <v>0</v>
      </c>
      <c r="F120" s="4">
        <f t="shared" si="87"/>
        <v>0</v>
      </c>
      <c r="G120" s="4">
        <f t="shared" ref="G120" si="88">SUM(G115:G119)</f>
        <v>0</v>
      </c>
      <c r="H120" s="4">
        <f t="shared" si="87"/>
        <v>0</v>
      </c>
      <c r="I120" s="4">
        <f t="shared" si="87"/>
        <v>0</v>
      </c>
      <c r="J120" s="4">
        <f>SUM(J115:J119)</f>
        <v>0</v>
      </c>
      <c r="K120" s="4">
        <f>SUM(K115:K119)</f>
        <v>0</v>
      </c>
      <c r="L120" s="4">
        <f t="shared" si="87"/>
        <v>0</v>
      </c>
      <c r="M120" s="4">
        <f t="shared" si="87"/>
        <v>0</v>
      </c>
      <c r="N120" s="4">
        <f t="shared" si="87"/>
        <v>0</v>
      </c>
      <c r="O120" s="4">
        <f t="shared" ref="O120:P120" si="89">SUM(O115:O119)</f>
        <v>0</v>
      </c>
      <c r="P120" s="4">
        <f t="shared" si="89"/>
        <v>0</v>
      </c>
      <c r="Q120" s="4">
        <f t="shared" si="87"/>
        <v>0</v>
      </c>
      <c r="R120" s="4">
        <f t="shared" si="87"/>
        <v>0</v>
      </c>
      <c r="S120" s="4">
        <f t="shared" si="87"/>
        <v>0</v>
      </c>
      <c r="T120" s="4">
        <f t="shared" si="87"/>
        <v>0</v>
      </c>
      <c r="U120" s="4">
        <f t="shared" ref="U120" si="90">SUM(U115:U119)</f>
        <v>0</v>
      </c>
    </row>
    <row r="121" spans="1:21" s="91" customFormat="1" ht="21" customHeight="1">
      <c r="A121" s="279" t="s">
        <v>338</v>
      </c>
      <c r="B121" s="279"/>
      <c r="C121" s="72">
        <f>SUM(D121:U121)</f>
        <v>107770540</v>
      </c>
      <c r="D121" s="72">
        <f t="shared" ref="D121:U121" si="91">+D120+D114+D107</f>
        <v>64944270</v>
      </c>
      <c r="E121" s="72">
        <f t="shared" si="91"/>
        <v>5037338</v>
      </c>
      <c r="F121" s="72">
        <f t="shared" si="91"/>
        <v>3073000</v>
      </c>
      <c r="G121" s="72">
        <f t="shared" ref="G121" si="92">+G120+G114+G107</f>
        <v>0</v>
      </c>
      <c r="H121" s="72">
        <f t="shared" si="91"/>
        <v>1170000</v>
      </c>
      <c r="I121" s="72">
        <f t="shared" si="91"/>
        <v>0</v>
      </c>
      <c r="J121" s="72">
        <f t="shared" si="91"/>
        <v>0</v>
      </c>
      <c r="K121" s="72">
        <f t="shared" ref="K121" si="93">+K120+K114+K107</f>
        <v>0</v>
      </c>
      <c r="L121" s="72">
        <f t="shared" si="91"/>
        <v>0</v>
      </c>
      <c r="M121" s="72">
        <f t="shared" si="91"/>
        <v>28544932</v>
      </c>
      <c r="N121" s="72">
        <f t="shared" si="91"/>
        <v>0</v>
      </c>
      <c r="O121" s="72">
        <f t="shared" si="91"/>
        <v>0</v>
      </c>
      <c r="P121" s="72">
        <f t="shared" si="91"/>
        <v>0</v>
      </c>
      <c r="Q121" s="72">
        <f t="shared" si="91"/>
        <v>5000000</v>
      </c>
      <c r="R121" s="72">
        <f t="shared" si="91"/>
        <v>0</v>
      </c>
      <c r="S121" s="72">
        <f t="shared" si="91"/>
        <v>1000</v>
      </c>
      <c r="T121" s="72">
        <f t="shared" si="91"/>
        <v>0</v>
      </c>
      <c r="U121" s="72">
        <f t="shared" si="91"/>
        <v>0</v>
      </c>
    </row>
    <row r="122" spans="1:21">
      <c r="A122" s="63"/>
      <c r="B122" s="63"/>
      <c r="C122" s="63"/>
      <c r="D122" s="63"/>
      <c r="E122" s="63"/>
      <c r="F122" s="63"/>
      <c r="G122" s="63"/>
      <c r="H122" s="104"/>
      <c r="I122" s="105"/>
      <c r="J122" s="105"/>
      <c r="K122" s="105"/>
      <c r="L122" s="105"/>
      <c r="M122" s="105"/>
      <c r="N122" s="105"/>
      <c r="O122" s="105"/>
      <c r="P122" s="105"/>
      <c r="T122" s="92"/>
      <c r="U122" s="92"/>
    </row>
    <row r="123" spans="1:21">
      <c r="F123" s="5"/>
      <c r="G123" s="5"/>
      <c r="H123" s="64"/>
      <c r="I123" s="106"/>
      <c r="J123" s="106"/>
      <c r="K123" s="106"/>
      <c r="L123" s="106"/>
      <c r="M123" s="106"/>
      <c r="N123" s="106"/>
      <c r="O123" s="106"/>
      <c r="P123" s="106"/>
    </row>
    <row r="124" spans="1:21">
      <c r="F124" s="5"/>
      <c r="G124" s="5"/>
      <c r="H124" s="107"/>
      <c r="I124" s="108"/>
      <c r="J124" s="108"/>
      <c r="K124" s="108"/>
      <c r="L124" s="108"/>
      <c r="M124" s="108"/>
      <c r="N124" s="108"/>
      <c r="O124" s="108"/>
      <c r="P124" s="108"/>
    </row>
    <row r="125" spans="1:21">
      <c r="A125" s="5"/>
      <c r="B125" s="5"/>
      <c r="C125" s="5"/>
      <c r="D125" s="5"/>
      <c r="E125" s="5"/>
      <c r="F125" s="5"/>
      <c r="G125" s="5"/>
      <c r="H125" s="65"/>
      <c r="I125" s="5"/>
      <c r="J125" s="5"/>
      <c r="K125" s="5"/>
      <c r="L125" s="5"/>
      <c r="M125" s="5"/>
      <c r="N125" s="5"/>
      <c r="O125" s="5"/>
      <c r="P125" s="5"/>
    </row>
    <row r="126" spans="1:21">
      <c r="A126" s="5"/>
      <c r="B126" s="5"/>
      <c r="C126" s="5"/>
      <c r="D126" s="5"/>
      <c r="E126" s="5"/>
      <c r="F126" s="5"/>
      <c r="G126" s="5"/>
      <c r="H126" s="65"/>
      <c r="I126" s="5"/>
      <c r="J126" s="5"/>
      <c r="K126" s="5"/>
      <c r="L126" s="5"/>
      <c r="M126" s="5"/>
      <c r="N126" s="5"/>
      <c r="O126" s="5"/>
      <c r="P126" s="5"/>
    </row>
    <row r="127" spans="1:21">
      <c r="A127" s="5"/>
      <c r="B127" s="5"/>
      <c r="C127" s="5"/>
      <c r="D127" s="5"/>
      <c r="E127" s="5"/>
      <c r="F127" s="5"/>
      <c r="G127" s="5"/>
      <c r="H127" s="65"/>
      <c r="I127" s="5"/>
      <c r="J127" s="5"/>
      <c r="K127" s="5"/>
      <c r="L127" s="5"/>
      <c r="M127" s="5"/>
      <c r="N127" s="5"/>
      <c r="O127" s="5"/>
      <c r="P127" s="5"/>
    </row>
    <row r="128" spans="1:21">
      <c r="A128" s="5"/>
      <c r="B128" s="5"/>
      <c r="C128" s="5"/>
      <c r="D128" s="5"/>
      <c r="E128" s="5"/>
      <c r="F128" s="5"/>
      <c r="G128" s="5"/>
    </row>
    <row r="129" spans="1:16">
      <c r="A129" s="5"/>
      <c r="B129" s="5"/>
      <c r="C129" s="5"/>
      <c r="D129" s="5"/>
      <c r="E129" s="5"/>
      <c r="F129" s="5"/>
      <c r="G129" s="5"/>
      <c r="H129" s="65"/>
      <c r="I129" s="5"/>
      <c r="J129" s="5"/>
      <c r="K129" s="5"/>
      <c r="L129" s="5"/>
      <c r="M129" s="5"/>
      <c r="N129" s="5"/>
      <c r="O129" s="5"/>
      <c r="P129" s="5"/>
    </row>
    <row r="130" spans="1:16">
      <c r="A130" s="5"/>
      <c r="B130" s="5"/>
      <c r="C130" s="5"/>
      <c r="D130" s="5"/>
      <c r="E130" s="5"/>
      <c r="F130" s="5"/>
      <c r="G130" s="5"/>
      <c r="H130" s="65"/>
      <c r="I130" s="67"/>
      <c r="J130" s="67"/>
      <c r="K130" s="67"/>
      <c r="L130" s="67"/>
      <c r="M130" s="67"/>
      <c r="N130" s="67"/>
      <c r="O130" s="67"/>
      <c r="P130" s="67"/>
    </row>
    <row r="131" spans="1:16">
      <c r="A131" s="5"/>
      <c r="B131" s="5"/>
      <c r="C131" s="5"/>
      <c r="D131" s="5"/>
      <c r="E131" s="5"/>
      <c r="F131" s="5"/>
      <c r="G131" s="5"/>
      <c r="H131" s="65"/>
      <c r="I131" s="5"/>
      <c r="J131" s="5"/>
      <c r="K131" s="5"/>
      <c r="L131" s="5"/>
      <c r="M131" s="5"/>
      <c r="N131" s="5"/>
      <c r="O131" s="5"/>
      <c r="P131" s="5"/>
    </row>
    <row r="132" spans="1:16">
      <c r="A132" s="5"/>
      <c r="B132" s="5"/>
      <c r="C132" s="5"/>
      <c r="D132" s="5"/>
      <c r="E132" s="5"/>
      <c r="F132" s="5"/>
      <c r="G132" s="5"/>
      <c r="H132" s="65"/>
      <c r="I132" s="109"/>
      <c r="J132" s="109"/>
      <c r="K132" s="109"/>
      <c r="L132" s="109"/>
      <c r="M132" s="109"/>
      <c r="N132" s="109"/>
      <c r="O132" s="109"/>
      <c r="P132" s="109"/>
    </row>
    <row r="133" spans="1:16">
      <c r="H133" s="107"/>
      <c r="I133" s="110"/>
      <c r="J133" s="110"/>
      <c r="K133" s="110"/>
      <c r="L133" s="110"/>
      <c r="M133" s="110"/>
      <c r="N133" s="110"/>
      <c r="O133" s="110"/>
      <c r="P133" s="110"/>
    </row>
  </sheetData>
  <sheetProtection password="DE31" sheet="1" objects="1" scenarios="1" selectLockedCells="1"/>
  <mergeCells count="10">
    <mergeCell ref="A83:B83"/>
    <mergeCell ref="C83:T83"/>
    <mergeCell ref="A121:B121"/>
    <mergeCell ref="A43:B43"/>
    <mergeCell ref="C43:T43"/>
    <mergeCell ref="A1:T1"/>
    <mergeCell ref="A3:B3"/>
    <mergeCell ref="C3:T3"/>
    <mergeCell ref="A41:B41"/>
    <mergeCell ref="A81:B81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U7" xr:uid="{00000000-0002-0000-03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U5" xr:uid="{00000000-0002-0000-03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4" fitToHeight="0" orientation="landscape" r:id="rId1"/>
  <rowBreaks count="2" manualBreakCount="2">
    <brk id="41" max="16383" man="1"/>
    <brk id="8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A3684"/>
  <sheetViews>
    <sheetView showGridLines="0" zoomScale="208" zoomScaleNormal="208" zoomScaleSheetLayoutView="80" workbookViewId="0">
      <pane xSplit="3" ySplit="3" topLeftCell="H88" activePane="bottomRight" state="frozen"/>
      <selection pane="topRight" activeCell="D1" sqref="D1"/>
      <selection pane="bottomLeft" activeCell="A4" sqref="A4"/>
      <selection pane="bottomRight" sqref="A1:T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42578125" style="26" customWidth="1"/>
    <col min="16" max="18" width="13.140625" style="26" customWidth="1"/>
    <col min="19" max="19" width="14.7109375" style="26" customWidth="1"/>
    <col min="20" max="21" width="13.140625" style="26" customWidth="1"/>
    <col min="22" max="37" width="11.42578125" style="73" customWidth="1"/>
    <col min="38" max="191" width="11.42578125" style="73"/>
    <col min="192" max="16384" width="11.42578125" style="74"/>
  </cols>
  <sheetData>
    <row r="1" spans="1:261" ht="24" customHeight="1">
      <c r="A1" s="280" t="s">
        <v>840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49"/>
    </row>
    <row r="2" spans="1:261" s="75" customFormat="1" ht="63.75">
      <c r="A2" s="94" t="s">
        <v>215</v>
      </c>
      <c r="B2" s="94" t="s">
        <v>216</v>
      </c>
      <c r="C2" s="2" t="s">
        <v>376</v>
      </c>
      <c r="D2" s="2" t="s">
        <v>52</v>
      </c>
      <c r="E2" s="2" t="s">
        <v>347</v>
      </c>
      <c r="F2" s="94" t="s">
        <v>19</v>
      </c>
      <c r="G2" s="94" t="s">
        <v>1667</v>
      </c>
      <c r="H2" s="94" t="s">
        <v>20</v>
      </c>
      <c r="I2" s="94" t="s">
        <v>295</v>
      </c>
      <c r="J2" s="94" t="s">
        <v>296</v>
      </c>
      <c r="K2" s="94" t="s">
        <v>1668</v>
      </c>
      <c r="L2" s="94" t="s">
        <v>297</v>
      </c>
      <c r="M2" s="94" t="s">
        <v>298</v>
      </c>
      <c r="N2" s="94" t="s">
        <v>299</v>
      </c>
      <c r="O2" s="94" t="s">
        <v>1669</v>
      </c>
      <c r="P2" s="94" t="s">
        <v>1670</v>
      </c>
      <c r="Q2" s="94" t="s">
        <v>300</v>
      </c>
      <c r="R2" s="94" t="s">
        <v>301</v>
      </c>
      <c r="S2" s="94" t="s">
        <v>1639</v>
      </c>
      <c r="T2" s="94" t="s">
        <v>1638</v>
      </c>
      <c r="U2" s="94" t="s">
        <v>1640</v>
      </c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</row>
    <row r="3" spans="1:261" s="23" customFormat="1" ht="19.5" customHeight="1">
      <c r="A3" s="120"/>
      <c r="B3" s="120" t="s">
        <v>381</v>
      </c>
      <c r="C3" s="121">
        <f>SUM(D3:U3)</f>
        <v>137282228</v>
      </c>
      <c r="D3" s="122">
        <f t="shared" ref="D3:U3" si="0">D4+D38+D58</f>
        <v>91667900</v>
      </c>
      <c r="E3" s="122">
        <f t="shared" si="0"/>
        <v>4900830</v>
      </c>
      <c r="F3" s="122">
        <f t="shared" si="0"/>
        <v>3088000</v>
      </c>
      <c r="G3" s="122">
        <f t="shared" ref="G3" si="1">G4+G38+G58</f>
        <v>0</v>
      </c>
      <c r="H3" s="122">
        <f t="shared" si="0"/>
        <v>1170000</v>
      </c>
      <c r="I3" s="122">
        <f t="shared" si="0"/>
        <v>0</v>
      </c>
      <c r="J3" s="122">
        <f t="shared" si="0"/>
        <v>3683111</v>
      </c>
      <c r="K3" s="122">
        <f t="shared" ref="K3" si="2">K4+K38+K58</f>
        <v>0</v>
      </c>
      <c r="L3" s="122">
        <f t="shared" si="0"/>
        <v>0</v>
      </c>
      <c r="M3" s="122">
        <f t="shared" si="0"/>
        <v>27771387</v>
      </c>
      <c r="N3" s="122">
        <f t="shared" si="0"/>
        <v>0</v>
      </c>
      <c r="O3" s="122">
        <f t="shared" ref="O3:P3" si="3">O4+O38+O58</f>
        <v>0</v>
      </c>
      <c r="P3" s="122">
        <f t="shared" si="3"/>
        <v>0</v>
      </c>
      <c r="Q3" s="122">
        <f t="shared" si="0"/>
        <v>5000000</v>
      </c>
      <c r="R3" s="122">
        <f t="shared" si="0"/>
        <v>0</v>
      </c>
      <c r="S3" s="122">
        <f t="shared" si="0"/>
        <v>1000</v>
      </c>
      <c r="T3" s="122">
        <f t="shared" si="0"/>
        <v>0</v>
      </c>
      <c r="U3" s="122">
        <f t="shared" si="0"/>
        <v>0</v>
      </c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7"/>
      <c r="AM3" s="77"/>
      <c r="AN3" s="77"/>
      <c r="AO3" s="77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</row>
    <row r="4" spans="1:261" s="10" customFormat="1" ht="12.6" customHeight="1">
      <c r="A4" s="123">
        <v>3</v>
      </c>
      <c r="B4" s="124" t="s">
        <v>217</v>
      </c>
      <c r="C4" s="125">
        <f t="shared" ref="C4:C67" si="4">SUM(D4:U4)</f>
        <v>98121819</v>
      </c>
      <c r="D4" s="126">
        <f>D5+D9+D15+D19+D23+D30+D33</f>
        <v>61927852</v>
      </c>
      <c r="E4" s="126">
        <f t="shared" ref="E4:U4" si="5">E5+E9+E15+E19+E23+E30+E33</f>
        <v>4900830</v>
      </c>
      <c r="F4" s="126">
        <f t="shared" si="5"/>
        <v>2483000</v>
      </c>
      <c r="G4" s="126">
        <f t="shared" ref="G4" si="6">G5+G9+G15+G19+G23+G30+G33</f>
        <v>0</v>
      </c>
      <c r="H4" s="126">
        <f t="shared" si="5"/>
        <v>920000</v>
      </c>
      <c r="I4" s="126">
        <f t="shared" si="5"/>
        <v>0</v>
      </c>
      <c r="J4" s="126">
        <f t="shared" si="5"/>
        <v>118750</v>
      </c>
      <c r="K4" s="126">
        <f t="shared" ref="K4" si="7">K5+K9+K15+K19+K23+K30+K33</f>
        <v>0</v>
      </c>
      <c r="L4" s="126">
        <f t="shared" si="5"/>
        <v>0</v>
      </c>
      <c r="M4" s="126">
        <f t="shared" si="5"/>
        <v>27771387</v>
      </c>
      <c r="N4" s="126">
        <f t="shared" si="5"/>
        <v>0</v>
      </c>
      <c r="O4" s="126">
        <f t="shared" ref="O4:P4" si="8">O5+O9+O15+O19+O23+O30+O33</f>
        <v>0</v>
      </c>
      <c r="P4" s="126">
        <f t="shared" si="8"/>
        <v>0</v>
      </c>
      <c r="Q4" s="126">
        <f t="shared" si="5"/>
        <v>0</v>
      </c>
      <c r="R4" s="126">
        <f t="shared" si="5"/>
        <v>0</v>
      </c>
      <c r="S4" s="126">
        <f t="shared" si="5"/>
        <v>0</v>
      </c>
      <c r="T4" s="126">
        <f t="shared" si="5"/>
        <v>0</v>
      </c>
      <c r="U4" s="126">
        <f t="shared" si="5"/>
        <v>0</v>
      </c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</row>
    <row r="5" spans="1:261" s="14" customFormat="1" ht="12.6" customHeight="1">
      <c r="A5" s="11">
        <v>31</v>
      </c>
      <c r="B5" s="12" t="s">
        <v>218</v>
      </c>
      <c r="C5" s="79">
        <f t="shared" si="4"/>
        <v>39067224</v>
      </c>
      <c r="D5" s="13">
        <f>SUM(D6:D8)</f>
        <v>38729224</v>
      </c>
      <c r="E5" s="13">
        <f t="shared" ref="E5:U5" si="9">SUM(E6:E8)</f>
        <v>0</v>
      </c>
      <c r="F5" s="13">
        <f t="shared" si="9"/>
        <v>338000</v>
      </c>
      <c r="G5" s="13">
        <f t="shared" ref="G5" si="10">SUM(G6:G8)</f>
        <v>0</v>
      </c>
      <c r="H5" s="13">
        <f t="shared" si="9"/>
        <v>0</v>
      </c>
      <c r="I5" s="13">
        <f t="shared" si="9"/>
        <v>0</v>
      </c>
      <c r="J5" s="13">
        <f t="shared" si="9"/>
        <v>0</v>
      </c>
      <c r="K5" s="13">
        <f t="shared" ref="K5" si="11">SUM(K6:K8)</f>
        <v>0</v>
      </c>
      <c r="L5" s="13">
        <f t="shared" si="9"/>
        <v>0</v>
      </c>
      <c r="M5" s="13">
        <f t="shared" si="9"/>
        <v>0</v>
      </c>
      <c r="N5" s="13">
        <f t="shared" si="9"/>
        <v>0</v>
      </c>
      <c r="O5" s="13">
        <f t="shared" ref="O5:P5" si="12">SUM(O6:O8)</f>
        <v>0</v>
      </c>
      <c r="P5" s="13">
        <f t="shared" si="12"/>
        <v>0</v>
      </c>
      <c r="Q5" s="13">
        <f t="shared" si="9"/>
        <v>0</v>
      </c>
      <c r="R5" s="13">
        <f t="shared" si="9"/>
        <v>0</v>
      </c>
      <c r="S5" s="13">
        <f t="shared" si="9"/>
        <v>0</v>
      </c>
      <c r="T5" s="13">
        <f t="shared" si="9"/>
        <v>0</v>
      </c>
      <c r="U5" s="13">
        <f t="shared" si="9"/>
        <v>0</v>
      </c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  <c r="IX5" s="81"/>
      <c r="IY5" s="81"/>
      <c r="IZ5" s="81"/>
      <c r="JA5" s="81"/>
    </row>
    <row r="6" spans="1:261" s="14" customFormat="1" ht="12.6" customHeight="1">
      <c r="A6" s="82">
        <v>311</v>
      </c>
      <c r="B6" s="82" t="s">
        <v>248</v>
      </c>
      <c r="C6" s="78">
        <f t="shared" si="4"/>
        <v>32709315</v>
      </c>
      <c r="D6" s="141">
        <f>SUMIFS('Plan rashoda za unos u SAP'!$I$3:$I$501,'Plan rashoda za unos u SAP'!$C$3:$C$501,"=11",'Plan rashoda za unos u SAP'!$M$3:$M$501,"=311")</f>
        <v>32439315</v>
      </c>
      <c r="E6" s="141">
        <f>SUMIFS('Plan rashoda za unos u SAP'!$I$3:$I$501,'Plan rashoda za unos u SAP'!$C$3:$C$501,"=12",'Plan rashoda za unos u SAP'!$M$3:$M$501,"=311")</f>
        <v>0</v>
      </c>
      <c r="F6" s="141">
        <f>SUMIFS('Plan rashoda za unos u SAP'!$I$3:$I$501,'Plan rashoda za unos u SAP'!$C$3:$C$501,"=31",'Plan rashoda za unos u SAP'!$M$3:$M$501,"=311")</f>
        <v>270000</v>
      </c>
      <c r="G6" s="141">
        <f>SUMIFS('Plan rashoda za unos u SAP'!$I$3:$I$501,'Plan rashoda za unos u SAP'!$C$3:$C$501,"=41",'Plan rashoda za unos u SAP'!$M$3:$M$501,"=311")</f>
        <v>0</v>
      </c>
      <c r="H6" s="141">
        <f>SUMIFS('Plan rashoda za unos u SAP'!$I$3:$I$501,'Plan rashoda za unos u SAP'!$C$3:$C$501,"=43",'Plan rashoda za unos u SAP'!$M$3:$M$501,"=311")</f>
        <v>0</v>
      </c>
      <c r="I6" s="141">
        <f>SUMIFS('Plan rashoda za unos u SAP'!$I$3:$I$501,'Plan rashoda za unos u SAP'!$C$3:$C$501,"=51",'Plan rashoda za unos u SAP'!$M$3:$M$501,"=311")</f>
        <v>0</v>
      </c>
      <c r="J6" s="141">
        <f>SUMIFS('Plan rashoda za unos u SAP'!$I$3:$I$501,'Plan rashoda za unos u SAP'!$C$3:$C$501,"=52",'Plan rashoda za unos u SAP'!$M$3:$M$501,"=311")</f>
        <v>0</v>
      </c>
      <c r="K6" s="141">
        <f>SUMIFS('Plan rashoda za unos u SAP'!$I$3:$I$501,'Plan rashoda za unos u SAP'!$C$3:$C$501,"=552",'Plan rashoda za unos u SAP'!$M$3:$M$501,"=311")</f>
        <v>0</v>
      </c>
      <c r="L6" s="141">
        <f>SUMIFS('Plan rashoda za unos u SAP'!$I$3:$I$501,'Plan rashoda za unos u SAP'!$C$3:$C$501,"=559",'Plan rashoda za unos u SAP'!$M$3:$M$501,"=311")</f>
        <v>0</v>
      </c>
      <c r="M6" s="141">
        <f>SUMIFS('Plan rashoda za unos u SAP'!$I$3:$I$501,'Plan rashoda za unos u SAP'!$C$3:$C$501,"=561",'Plan rashoda za unos u SAP'!$M$3:$M$501,"=311")</f>
        <v>0</v>
      </c>
      <c r="N6" s="141">
        <f>SUMIFS('Plan rashoda za unos u SAP'!$I$3:$I$501,'Plan rashoda za unos u SAP'!$C$3:$C$501,"=563",'Plan rashoda za unos u SAP'!$M$3:$M$501,"=311")</f>
        <v>0</v>
      </c>
      <c r="O6" s="141">
        <f>SUMIFS('Plan rashoda za unos u SAP'!$I$3:$I$501,'Plan rashoda za unos u SAP'!$C$3:$C$501,"=573",'Plan rashoda za unos u SAP'!$M$3:$M$501,"=311")</f>
        <v>0</v>
      </c>
      <c r="P6" s="141">
        <f>SUMIFS('Plan rashoda za unos u SAP'!$I$3:$I$501,'Plan rashoda za unos u SAP'!$C$3:$C$501,"=575",'Plan rashoda za unos u SAP'!$M$3:$M$501,"=311")</f>
        <v>0</v>
      </c>
      <c r="Q6" s="141">
        <f>SUMIFS('Plan rashoda za unos u SAP'!$I$3:$I$501,'Plan rashoda za unos u SAP'!$C$3:$C$501,"=61",'Plan rashoda za unos u SAP'!$M$3:$M$501,"=311")</f>
        <v>0</v>
      </c>
      <c r="R6" s="141">
        <f>SUMIFS('Plan rashoda za unos u SAP'!$I$3:$I$501,'Plan rashoda za unos u SAP'!$C$3:$C$501,"=63",'Plan rashoda za unos u SAP'!$M$3:$M$501,"=311")</f>
        <v>0</v>
      </c>
      <c r="S6" s="141">
        <f>SUMIFS('Plan rashoda za unos u SAP'!$I$3:$I$501,'Plan rashoda za unos u SAP'!$C$3:$C$501,"=71",'Plan rashoda za unos u SAP'!$M$3:$M$501,"=311")</f>
        <v>0</v>
      </c>
      <c r="T6" s="141">
        <f>SUMIFS('Plan rashoda za unos u SAP'!$I$3:$I$501,'Plan rashoda za unos u SAP'!$C$3:$C$501,"=81",'Plan rashoda za unos u SAP'!$M$3:$M$501,"=311")</f>
        <v>0</v>
      </c>
      <c r="U6" s="141">
        <f>SUMIFS('Plan rashoda za unos u SAP'!$I$3:$I$501,'Plan rashoda za unos u SAP'!$C$3:$C$501,"=83",'Plan rashoda za unos u SAP'!$M$3:$M$501,"=311")</f>
        <v>0</v>
      </c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</row>
    <row r="7" spans="1:261" s="14" customFormat="1" ht="12.6" customHeight="1">
      <c r="A7" s="83">
        <v>312</v>
      </c>
      <c r="B7" s="9" t="s">
        <v>69</v>
      </c>
      <c r="C7" s="15">
        <f t="shared" si="4"/>
        <v>1346065</v>
      </c>
      <c r="D7" s="141">
        <f>SUMIFS('Plan rashoda za unos u SAP'!$I$3:$I$501,'Plan rashoda za unos u SAP'!$C$3:$C$501,"=11",'Plan rashoda za unos u SAP'!$M$3:$M$501,"=312")</f>
        <v>1316065</v>
      </c>
      <c r="E7" s="141">
        <f>SUMIFS('Plan rashoda za unos u SAP'!$I$3:$I$501,'Plan rashoda za unos u SAP'!$C$3:$C$501,"=12",'Plan rashoda za unos u SAP'!$M$3:$M$501,"=312")</f>
        <v>0</v>
      </c>
      <c r="F7" s="141">
        <f>SUMIFS('Plan rashoda za unos u SAP'!$I$3:$I$501,'Plan rashoda za unos u SAP'!$C$3:$C$501,"=31",'Plan rashoda za unos u SAP'!$M$3:$M$501,"=312")</f>
        <v>30000</v>
      </c>
      <c r="G7" s="141">
        <f>SUMIFS('Plan rashoda za unos u SAP'!$I$3:$I$501,'Plan rashoda za unos u SAP'!$C$3:$C$501,"=41",'Plan rashoda za unos u SAP'!$M$3:$M$501,"=312")</f>
        <v>0</v>
      </c>
      <c r="H7" s="141">
        <f>SUMIFS('Plan rashoda za unos u SAP'!$I$3:$I$501,'Plan rashoda za unos u SAP'!$C$3:$C$501,"=43",'Plan rashoda za unos u SAP'!$M$3:$M$501,"=312")</f>
        <v>0</v>
      </c>
      <c r="I7" s="141">
        <f>SUMIFS('Plan rashoda za unos u SAP'!$I$3:$I$501,'Plan rashoda za unos u SAP'!$C$3:$C$501,"=51",'Plan rashoda za unos u SAP'!$M$3:$M$501,"=312")</f>
        <v>0</v>
      </c>
      <c r="J7" s="141">
        <f>SUMIFS('Plan rashoda za unos u SAP'!$I$3:$I$501,'Plan rashoda za unos u SAP'!$C$3:$C$501,"=52",'Plan rashoda za unos u SAP'!$M$3:$M$501,"=312")</f>
        <v>0</v>
      </c>
      <c r="K7" s="141">
        <f>SUMIFS('Plan rashoda za unos u SAP'!$I$3:$I$501,'Plan rashoda za unos u SAP'!$C$3:$C$501,"=552",'Plan rashoda za unos u SAP'!$M$3:$M$501,"=312")</f>
        <v>0</v>
      </c>
      <c r="L7" s="141">
        <f>SUMIFS('Plan rashoda za unos u SAP'!$I$3:$I$501,'Plan rashoda za unos u SAP'!$C$3:$C$501,"=559",'Plan rashoda za unos u SAP'!$M$3:$M$501,"=312")</f>
        <v>0</v>
      </c>
      <c r="M7" s="141">
        <f>SUMIFS('Plan rashoda za unos u SAP'!$I$3:$I$501,'Plan rashoda za unos u SAP'!$C$3:$C$501,"=561",'Plan rashoda za unos u SAP'!$M$3:$M$501,"=312")</f>
        <v>0</v>
      </c>
      <c r="N7" s="141">
        <f>SUMIFS('Plan rashoda za unos u SAP'!$I$3:$I$501,'Plan rashoda za unos u SAP'!$C$3:$C$501,"=563",'Plan rashoda za unos u SAP'!$M$3:$M$501,"=312")</f>
        <v>0</v>
      </c>
      <c r="O7" s="141">
        <f>SUMIFS('Plan rashoda za unos u SAP'!$I$3:$I$501,'Plan rashoda za unos u SAP'!$C$3:$C$501,"=573",'Plan rashoda za unos u SAP'!$M$3:$M$501,"=312")</f>
        <v>0</v>
      </c>
      <c r="P7" s="141">
        <f>SUMIFS('Plan rashoda za unos u SAP'!$I$3:$I$501,'Plan rashoda za unos u SAP'!$C$3:$C$501,"=575",'Plan rashoda za unos u SAP'!$M$3:$M$501,"=312")</f>
        <v>0</v>
      </c>
      <c r="Q7" s="141">
        <f>SUMIFS('Plan rashoda za unos u SAP'!$I$3:$I$501,'Plan rashoda za unos u SAP'!$C$3:$C$501,"=61",'Plan rashoda za unos u SAP'!$M$3:$M$501,"=312")</f>
        <v>0</v>
      </c>
      <c r="R7" s="141">
        <f>SUMIFS('Plan rashoda za unos u SAP'!$I$3:$I$501,'Plan rashoda za unos u SAP'!$C$3:$C$501,"=63",'Plan rashoda za unos u SAP'!$M$3:$M$501,"=312")</f>
        <v>0</v>
      </c>
      <c r="S7" s="141">
        <f>SUMIFS('Plan rashoda za unos u SAP'!$I$3:$I$501,'Plan rashoda za unos u SAP'!$C$3:$C$501,"=71",'Plan rashoda za unos u SAP'!$M$3:$M$501,"=312")</f>
        <v>0</v>
      </c>
      <c r="T7" s="141">
        <f>SUMIFS('Plan rashoda za unos u SAP'!$I$3:$I$501,'Plan rashoda za unos u SAP'!$C$3:$C$501,"=81",'Plan rashoda za unos u SAP'!$M$3:$M$501,"=312")</f>
        <v>0</v>
      </c>
      <c r="U7" s="141">
        <f>SUMIFS('Plan rashoda za unos u SAP'!$I$3:$I$501,'Plan rashoda za unos u SAP'!$C$3:$C$501,"=83",'Plan rashoda za unos u SAP'!$M$3:$M$501,"=312")</f>
        <v>0</v>
      </c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</row>
    <row r="8" spans="1:261" s="14" customFormat="1" ht="12.6" customHeight="1">
      <c r="A8" s="84">
        <v>313</v>
      </c>
      <c r="B8" s="9" t="s">
        <v>284</v>
      </c>
      <c r="C8" s="15">
        <f t="shared" si="4"/>
        <v>5011844</v>
      </c>
      <c r="D8" s="141">
        <f>SUMIFS('Plan rashoda za unos u SAP'!$I$3:$I$501,'Plan rashoda za unos u SAP'!$C$3:$C$501,"=11",'Plan rashoda za unos u SAP'!$M$3:$M$501,"=313")</f>
        <v>4973844</v>
      </c>
      <c r="E8" s="141">
        <f>SUMIFS('Plan rashoda za unos u SAP'!$I$3:$I$501,'Plan rashoda za unos u SAP'!$C$3:$C$501,"=12",'Plan rashoda za unos u SAP'!$M$3:$M$501,"=313")</f>
        <v>0</v>
      </c>
      <c r="F8" s="141">
        <f>SUMIFS('Plan rashoda za unos u SAP'!$I$3:$I$501,'Plan rashoda za unos u SAP'!$C$3:$C$501,"=31",'Plan rashoda za unos u SAP'!$M$3:$M$501,"=313")</f>
        <v>38000</v>
      </c>
      <c r="G8" s="141">
        <f>SUMIFS('Plan rashoda za unos u SAP'!$I$3:$I$501,'Plan rashoda za unos u SAP'!$C$3:$C$501,"=41",'Plan rashoda za unos u SAP'!$M$3:$M$501,"=313")</f>
        <v>0</v>
      </c>
      <c r="H8" s="141">
        <f>SUMIFS('Plan rashoda za unos u SAP'!$I$3:$I$501,'Plan rashoda za unos u SAP'!$C$3:$C$501,"=43",'Plan rashoda za unos u SAP'!$M$3:$M$501,"=313")</f>
        <v>0</v>
      </c>
      <c r="I8" s="141">
        <f>SUMIFS('Plan rashoda za unos u SAP'!$I$3:$I$501,'Plan rashoda za unos u SAP'!$C$3:$C$501,"=51",'Plan rashoda za unos u SAP'!$M$3:$M$501,"=313")</f>
        <v>0</v>
      </c>
      <c r="J8" s="141">
        <f>SUMIFS('Plan rashoda za unos u SAP'!$I$3:$I$501,'Plan rashoda za unos u SAP'!$C$3:$C$501,"=52",'Plan rashoda za unos u SAP'!$M$3:$M$501,"=313")</f>
        <v>0</v>
      </c>
      <c r="K8" s="141">
        <f>SUMIFS('Plan rashoda za unos u SAP'!$I$3:$I$501,'Plan rashoda za unos u SAP'!$C$3:$C$501,"=552",'Plan rashoda za unos u SAP'!$M$3:$M$501,"=313")</f>
        <v>0</v>
      </c>
      <c r="L8" s="141">
        <f>SUMIFS('Plan rashoda za unos u SAP'!$I$3:$I$501,'Plan rashoda za unos u SAP'!$C$3:$C$501,"=559",'Plan rashoda za unos u SAP'!$M$3:$M$501,"=313")</f>
        <v>0</v>
      </c>
      <c r="M8" s="141">
        <f>SUMIFS('Plan rashoda za unos u SAP'!$I$3:$I$501,'Plan rashoda za unos u SAP'!$C$3:$C$501,"=561",'Plan rashoda za unos u SAP'!$M$3:$M$501,"=313")</f>
        <v>0</v>
      </c>
      <c r="N8" s="141">
        <f>SUMIFS('Plan rashoda za unos u SAP'!$I$3:$I$501,'Plan rashoda za unos u SAP'!$C$3:$C$501,"=563",'Plan rashoda za unos u SAP'!$M$3:$M$501,"=313")</f>
        <v>0</v>
      </c>
      <c r="O8" s="141">
        <f>SUMIFS('Plan rashoda za unos u SAP'!$I$3:$I$501,'Plan rashoda za unos u SAP'!$C$3:$C$501,"=573",'Plan rashoda za unos u SAP'!$M$3:$M$501,"=313")</f>
        <v>0</v>
      </c>
      <c r="P8" s="141">
        <f>SUMIFS('Plan rashoda za unos u SAP'!$I$3:$I$501,'Plan rashoda za unos u SAP'!$C$3:$C$501,"=575",'Plan rashoda za unos u SAP'!$M$3:$M$501,"=313")</f>
        <v>0</v>
      </c>
      <c r="Q8" s="141">
        <f>SUMIFS('Plan rashoda za unos u SAP'!$I$3:$I$501,'Plan rashoda za unos u SAP'!$C$3:$C$501,"=61",'Plan rashoda za unos u SAP'!$M$3:$M$501,"=313")</f>
        <v>0</v>
      </c>
      <c r="R8" s="141">
        <f>SUMIFS('Plan rashoda za unos u SAP'!$I$3:$I$501,'Plan rashoda za unos u SAP'!$C$3:$C$501,"=63",'Plan rashoda za unos u SAP'!$M$3:$M$501,"=313")</f>
        <v>0</v>
      </c>
      <c r="S8" s="141">
        <f>SUMIFS('Plan rashoda za unos u SAP'!$I$3:$I$501,'Plan rashoda za unos u SAP'!$C$3:$C$501,"=71",'Plan rashoda za unos u SAP'!$M$3:$M$501,"=313")</f>
        <v>0</v>
      </c>
      <c r="T8" s="141">
        <f>SUMIFS('Plan rashoda za unos u SAP'!$I$3:$I$501,'Plan rashoda za unos u SAP'!$C$3:$C$501,"=81",'Plan rashoda za unos u SAP'!$M$3:$M$501,"=313")</f>
        <v>0</v>
      </c>
      <c r="U8" s="141">
        <f>SUMIFS('Plan rashoda za unos u SAP'!$I$3:$I$501,'Plan rashoda za unos u SAP'!$C$3:$C$501,"=83",'Plan rashoda za unos u SAP'!$M$3:$M$501,"=313")</f>
        <v>0</v>
      </c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</row>
    <row r="9" spans="1:261" s="86" customFormat="1" ht="12.6" customHeight="1">
      <c r="A9" s="85">
        <v>32</v>
      </c>
      <c r="B9" s="16" t="s">
        <v>219</v>
      </c>
      <c r="C9" s="4">
        <f t="shared" si="4"/>
        <v>58548085</v>
      </c>
      <c r="D9" s="79">
        <f t="shared" ref="D9:U9" si="13">SUM(D10:D14)</f>
        <v>22802118</v>
      </c>
      <c r="E9" s="79">
        <f t="shared" si="13"/>
        <v>4900830</v>
      </c>
      <c r="F9" s="79">
        <f>SUM(F10:F14)</f>
        <v>2055000</v>
      </c>
      <c r="G9" s="79">
        <f>SUM(G10:G14)</f>
        <v>0</v>
      </c>
      <c r="H9" s="79">
        <f t="shared" si="13"/>
        <v>900000</v>
      </c>
      <c r="I9" s="79">
        <f t="shared" si="13"/>
        <v>0</v>
      </c>
      <c r="J9" s="79">
        <f t="shared" si="13"/>
        <v>118750</v>
      </c>
      <c r="K9" s="79">
        <f>SUM(K10:K14)</f>
        <v>0</v>
      </c>
      <c r="L9" s="79">
        <f t="shared" si="13"/>
        <v>0</v>
      </c>
      <c r="M9" s="79">
        <f t="shared" si="13"/>
        <v>27771387</v>
      </c>
      <c r="N9" s="79">
        <f t="shared" si="13"/>
        <v>0</v>
      </c>
      <c r="O9" s="79">
        <f t="shared" ref="O9:P9" si="14">SUM(O10:O14)</f>
        <v>0</v>
      </c>
      <c r="P9" s="79">
        <f t="shared" si="14"/>
        <v>0</v>
      </c>
      <c r="Q9" s="79">
        <f t="shared" si="13"/>
        <v>0</v>
      </c>
      <c r="R9" s="79">
        <f t="shared" si="13"/>
        <v>0</v>
      </c>
      <c r="S9" s="79">
        <f t="shared" si="13"/>
        <v>0</v>
      </c>
      <c r="T9" s="79">
        <f t="shared" si="13"/>
        <v>0</v>
      </c>
      <c r="U9" s="79">
        <f t="shared" si="13"/>
        <v>0</v>
      </c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</row>
    <row r="10" spans="1:261" s="75" customFormat="1" ht="12.6" customHeight="1">
      <c r="A10" s="82">
        <v>321</v>
      </c>
      <c r="B10" s="82" t="s">
        <v>220</v>
      </c>
      <c r="C10" s="15">
        <f t="shared" si="4"/>
        <v>1788701</v>
      </c>
      <c r="D10" s="141">
        <f>SUMIFS('Plan rashoda za unos u SAP'!$I$3:$I$501,'Plan rashoda za unos u SAP'!$C$3:$C$501,"=11",'Plan rashoda za unos u SAP'!$M$3:$M$501,"=321")</f>
        <v>1490000</v>
      </c>
      <c r="E10" s="141">
        <f>SUMIFS('Plan rashoda za unos u SAP'!$I$3:$I$501,'Plan rashoda za unos u SAP'!$C$3:$C$501,"=12",'Plan rashoda za unos u SAP'!$M$3:$M$501,"=321")</f>
        <v>21293</v>
      </c>
      <c r="F10" s="141">
        <f>SUMIFS('Plan rashoda za unos u SAP'!$I$3:$I$501,'Plan rashoda za unos u SAP'!$C$3:$C$501,"=31",'Plan rashoda za unos u SAP'!$M$3:$M$501,"=321")</f>
        <v>80000</v>
      </c>
      <c r="G10" s="141">
        <f>SUMIFS('Plan rashoda za unos u SAP'!$I$3:$I$501,'Plan rashoda za unos u SAP'!$C$3:$C$501,"=41",'Plan rashoda za unos u SAP'!$M$3:$M$501,"=321")</f>
        <v>0</v>
      </c>
      <c r="H10" s="141">
        <f>SUMIFS('Plan rashoda za unos u SAP'!$I$3:$I$501,'Plan rashoda za unos u SAP'!$C$3:$C$501,"=43",'Plan rashoda za unos u SAP'!$M$3:$M$501,"=321")</f>
        <v>0</v>
      </c>
      <c r="I10" s="141">
        <f>SUMIFS('Plan rashoda za unos u SAP'!$I$3:$I$501,'Plan rashoda za unos u SAP'!$C$3:$C$501,"=51",'Plan rashoda za unos u SAP'!$M$3:$M$501,"=321")</f>
        <v>0</v>
      </c>
      <c r="J10" s="141">
        <f>SUMIFS('Plan rashoda za unos u SAP'!$I$3:$I$501,'Plan rashoda za unos u SAP'!$C$3:$C$501,"=52",'Plan rashoda za unos u SAP'!$M$3:$M$501,"=321")</f>
        <v>76750</v>
      </c>
      <c r="K10" s="141">
        <f>SUMIFS('Plan rashoda za unos u SAP'!$I$3:$I$501,'Plan rashoda za unos u SAP'!$C$3:$C$501,"=552",'Plan rashoda za unos u SAP'!$M$3:$M$501,"=321")</f>
        <v>0</v>
      </c>
      <c r="L10" s="141">
        <f>SUMIFS('Plan rashoda za unos u SAP'!$I$3:$I$501,'Plan rashoda za unos u SAP'!$C$3:$C$501,"=559",'Plan rashoda za unos u SAP'!$M$3:$M$501,"=321")</f>
        <v>0</v>
      </c>
      <c r="M10" s="141">
        <f>SUMIFS('Plan rashoda za unos u SAP'!$I$3:$I$501,'Plan rashoda za unos u SAP'!$C$3:$C$501,"=561",'Plan rashoda za unos u SAP'!$M$3:$M$501,"=321")</f>
        <v>120658</v>
      </c>
      <c r="N10" s="141">
        <f>SUMIFS('Plan rashoda za unos u SAP'!$I$3:$I$501,'Plan rashoda za unos u SAP'!$C$3:$C$501,"=563",'Plan rashoda za unos u SAP'!$M$3:$M$501,"=321")</f>
        <v>0</v>
      </c>
      <c r="O10" s="141">
        <f>SUMIFS('Plan rashoda za unos u SAP'!$I$3:$I$501,'Plan rashoda za unos u SAP'!$C$3:$C$501,"=573",'Plan rashoda za unos u SAP'!$M$3:$M$501,"=321")</f>
        <v>0</v>
      </c>
      <c r="P10" s="141">
        <f>SUMIFS('Plan rashoda za unos u SAP'!$I$3:$I$501,'Plan rashoda za unos u SAP'!$C$3:$C$501,"=575",'Plan rashoda za unos u SAP'!$M$3:$M$501,"=321")</f>
        <v>0</v>
      </c>
      <c r="Q10" s="141">
        <f>SUMIFS('Plan rashoda za unos u SAP'!$I$3:$I$501,'Plan rashoda za unos u SAP'!$C$3:$C$501,"=61",'Plan rashoda za unos u SAP'!$M$3:$M$501,"=321")</f>
        <v>0</v>
      </c>
      <c r="R10" s="141">
        <f>SUMIFS('Plan rashoda za unos u SAP'!$I$3:$I$501,'Plan rashoda za unos u SAP'!$C$3:$C$501,"=63",'Plan rashoda za unos u SAP'!$M$3:$M$501,"=321")</f>
        <v>0</v>
      </c>
      <c r="S10" s="141">
        <f>SUMIFS('Plan rashoda za unos u SAP'!$I$3:$I$501,'Plan rashoda za unos u SAP'!$C$3:$C$501,"=71",'Plan rashoda za unos u SAP'!$M$3:$M$501,"=321")</f>
        <v>0</v>
      </c>
      <c r="T10" s="141">
        <f>SUMIFS('Plan rashoda za unos u SAP'!$I$3:$I$501,'Plan rashoda za unos u SAP'!$C$3:$C$501,"=81",'Plan rashoda za unos u SAP'!$M$3:$M$501,"=321")</f>
        <v>0</v>
      </c>
      <c r="U10" s="141">
        <f>SUMIFS('Plan rashoda za unos u SAP'!$I$3:$I$501,'Plan rashoda za unos u SAP'!$C$3:$C$501,"=83",'Plan rashoda za unos u SAP'!$M$3:$M$501,"=321")</f>
        <v>0</v>
      </c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</row>
    <row r="11" spans="1:261" s="5" customFormat="1" ht="12.6" customHeight="1">
      <c r="A11" s="83">
        <v>322</v>
      </c>
      <c r="B11" s="9" t="s">
        <v>221</v>
      </c>
      <c r="C11" s="15">
        <f t="shared" si="4"/>
        <v>9888002</v>
      </c>
      <c r="D11" s="141">
        <f>SUMIFS('Plan rashoda za unos u SAP'!$I$3:$I$501,'Plan rashoda za unos u SAP'!$C$3:$C$501,"=11",'Plan rashoda za unos u SAP'!$M$3:$M$501,"=322")</f>
        <v>8824449</v>
      </c>
      <c r="E11" s="141">
        <f>SUMIFS('Plan rashoda za unos u SAP'!$I$3:$I$501,'Plan rashoda za unos u SAP'!$C$3:$C$501,"=12",'Plan rashoda za unos u SAP'!$M$3:$M$501,"=322")</f>
        <v>9533</v>
      </c>
      <c r="F11" s="141">
        <f>SUMIFS('Plan rashoda za unos u SAP'!$I$3:$I$501,'Plan rashoda za unos u SAP'!$C$3:$C$501,"=31",'Plan rashoda za unos u SAP'!$M$3:$M$501,"=322")</f>
        <v>245000</v>
      </c>
      <c r="G11" s="141">
        <f>SUMIFS('Plan rashoda za unos u SAP'!$I$3:$I$501,'Plan rashoda za unos u SAP'!$C$3:$C$501,"=41",'Plan rashoda za unos u SAP'!$M$3:$M$501,"=322")</f>
        <v>0</v>
      </c>
      <c r="H11" s="141">
        <f>SUMIFS('Plan rashoda za unos u SAP'!$I$3:$I$501,'Plan rashoda za unos u SAP'!$C$3:$C$501,"=43",'Plan rashoda za unos u SAP'!$M$3:$M$501,"=322")</f>
        <v>750000</v>
      </c>
      <c r="I11" s="141">
        <f>SUMIFS('Plan rashoda za unos u SAP'!$I$3:$I$501,'Plan rashoda za unos u SAP'!$C$3:$C$501,"=51",'Plan rashoda za unos u SAP'!$M$3:$M$501,"=322")</f>
        <v>0</v>
      </c>
      <c r="J11" s="141">
        <f>SUMIFS('Plan rashoda za unos u SAP'!$I$3:$I$501,'Plan rashoda za unos u SAP'!$C$3:$C$501,"=52",'Plan rashoda za unos u SAP'!$M$3:$M$501,"=322")</f>
        <v>5000</v>
      </c>
      <c r="K11" s="141">
        <f>SUMIFS('Plan rashoda za unos u SAP'!$I$3:$I$501,'Plan rashoda za unos u SAP'!$C$3:$C$501,"=552",'Plan rashoda za unos u SAP'!$M$3:$M$501,"=322")</f>
        <v>0</v>
      </c>
      <c r="L11" s="141">
        <f>SUMIFS('Plan rashoda za unos u SAP'!$I$3:$I$501,'Plan rashoda za unos u SAP'!$C$3:$C$501,"=559",'Plan rashoda za unos u SAP'!$M$3:$M$501,"=322")</f>
        <v>0</v>
      </c>
      <c r="M11" s="141">
        <f>SUMIFS('Plan rashoda za unos u SAP'!$I$3:$I$501,'Plan rashoda za unos u SAP'!$C$3:$C$501,"=561",'Plan rashoda za unos u SAP'!$M$3:$M$501,"=322")</f>
        <v>54020</v>
      </c>
      <c r="N11" s="141">
        <f>SUMIFS('Plan rashoda za unos u SAP'!$I$3:$I$501,'Plan rashoda za unos u SAP'!$C$3:$C$501,"=563",'Plan rashoda za unos u SAP'!$M$3:$M$501,"=322")</f>
        <v>0</v>
      </c>
      <c r="O11" s="141">
        <f>SUMIFS('Plan rashoda za unos u SAP'!$I$3:$I$501,'Plan rashoda za unos u SAP'!$C$3:$C$501,"=573",'Plan rashoda za unos u SAP'!$M$3:$M$501,"=322")</f>
        <v>0</v>
      </c>
      <c r="P11" s="141">
        <f>SUMIFS('Plan rashoda za unos u SAP'!$I$3:$I$501,'Plan rashoda za unos u SAP'!$C$3:$C$501,"=575",'Plan rashoda za unos u SAP'!$M$3:$M$501,"=322")</f>
        <v>0</v>
      </c>
      <c r="Q11" s="141">
        <f>SUMIFS('Plan rashoda za unos u SAP'!$I$3:$I$501,'Plan rashoda za unos u SAP'!$C$3:$C$501,"=61",'Plan rashoda za unos u SAP'!$M$3:$M$501,"=322")</f>
        <v>0</v>
      </c>
      <c r="R11" s="141">
        <f>SUMIFS('Plan rashoda za unos u SAP'!$I$3:$I$501,'Plan rashoda za unos u SAP'!$C$3:$C$501,"=63",'Plan rashoda za unos u SAP'!$M$3:$M$501,"=322")</f>
        <v>0</v>
      </c>
      <c r="S11" s="141">
        <f>SUMIFS('Plan rashoda za unos u SAP'!$I$3:$I$501,'Plan rashoda za unos u SAP'!$C$3:$C$501,"=71",'Plan rashoda za unos u SAP'!$M$3:$M$501,"=322")</f>
        <v>0</v>
      </c>
      <c r="T11" s="141">
        <f>SUMIFS('Plan rashoda za unos u SAP'!$I$3:$I$501,'Plan rashoda za unos u SAP'!$C$3:$C$501,"=81",'Plan rashoda za unos u SAP'!$M$3:$M$501,"=322")</f>
        <v>0</v>
      </c>
      <c r="U11" s="141">
        <f>SUMIFS('Plan rashoda za unos u SAP'!$I$3:$I$501,'Plan rashoda za unos u SAP'!$C$3:$C$501,"=83",'Plan rashoda za unos u SAP'!$M$3:$M$501,"=322")</f>
        <v>0</v>
      </c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</row>
    <row r="12" spans="1:261" s="5" customFormat="1" ht="12.6" customHeight="1">
      <c r="A12" s="84">
        <v>323</v>
      </c>
      <c r="B12" s="9" t="s">
        <v>222</v>
      </c>
      <c r="C12" s="15">
        <f t="shared" si="4"/>
        <v>46311786</v>
      </c>
      <c r="D12" s="141">
        <f>SUMIFS('Plan rashoda za unos u SAP'!$I$3:$I$501,'Plan rashoda za unos u SAP'!$C$3:$C$501,"=11",'Plan rashoda za unos u SAP'!$M$3:$M$501,"=323")</f>
        <v>12230185</v>
      </c>
      <c r="E12" s="141">
        <f>SUMIFS('Plan rashoda za unos u SAP'!$I$3:$I$501,'Plan rashoda za unos u SAP'!$C$3:$C$501,"=12",'Plan rashoda za unos u SAP'!$M$3:$M$501,"=323")</f>
        <v>4868938</v>
      </c>
      <c r="F12" s="141">
        <f>SUMIFS('Plan rashoda za unos u SAP'!$I$3:$I$501,'Plan rashoda za unos u SAP'!$C$3:$C$501,"=31",'Plan rashoda za unos u SAP'!$M$3:$M$501,"=323")</f>
        <v>1595000</v>
      </c>
      <c r="G12" s="141">
        <f>SUMIFS('Plan rashoda za unos u SAP'!$I$3:$I$501,'Plan rashoda za unos u SAP'!$C$3:$C$501,"=41",'Plan rashoda za unos u SAP'!$M$3:$M$501,"=323")</f>
        <v>0</v>
      </c>
      <c r="H12" s="141">
        <f>SUMIFS('Plan rashoda za unos u SAP'!$I$3:$I$501,'Plan rashoda za unos u SAP'!$C$3:$C$501,"=43",'Plan rashoda za unos u SAP'!$M$3:$M$501,"=323")</f>
        <v>0</v>
      </c>
      <c r="I12" s="141">
        <f>SUMIFS('Plan rashoda za unos u SAP'!$I$3:$I$501,'Plan rashoda za unos u SAP'!$C$3:$C$501,"=51",'Plan rashoda za unos u SAP'!$M$3:$M$501,"=323")</f>
        <v>0</v>
      </c>
      <c r="J12" s="141">
        <f>SUMIFS('Plan rashoda za unos u SAP'!$I$3:$I$501,'Plan rashoda za unos u SAP'!$C$3:$C$501,"=52",'Plan rashoda za unos u SAP'!$M$3:$M$501,"=323")</f>
        <v>27000</v>
      </c>
      <c r="K12" s="141">
        <f>SUMIFS('Plan rashoda za unos u SAP'!$I$3:$I$501,'Plan rashoda za unos u SAP'!$C$3:$C$501,"=552",'Plan rashoda za unos u SAP'!$M$3:$M$501,"=323")</f>
        <v>0</v>
      </c>
      <c r="L12" s="141">
        <f>SUMIFS('Plan rashoda za unos u SAP'!$I$3:$I$501,'Plan rashoda za unos u SAP'!$C$3:$C$501,"=559",'Plan rashoda za unos u SAP'!$M$3:$M$501,"=323")</f>
        <v>0</v>
      </c>
      <c r="M12" s="141">
        <f>SUMIFS('Plan rashoda za unos u SAP'!$I$3:$I$501,'Plan rashoda za unos u SAP'!$C$3:$C$501,"=561",'Plan rashoda za unos u SAP'!$M$3:$M$501,"=323")</f>
        <v>27590663</v>
      </c>
      <c r="N12" s="141">
        <f>SUMIFS('Plan rashoda za unos u SAP'!$I$3:$I$501,'Plan rashoda za unos u SAP'!$C$3:$C$501,"=563",'Plan rashoda za unos u SAP'!$M$3:$M$501,"=323")</f>
        <v>0</v>
      </c>
      <c r="O12" s="141">
        <f>SUMIFS('Plan rashoda za unos u SAP'!$I$3:$I$501,'Plan rashoda za unos u SAP'!$C$3:$C$501,"=573",'Plan rashoda za unos u SAP'!$M$3:$M$501,"=323")</f>
        <v>0</v>
      </c>
      <c r="P12" s="141">
        <f>SUMIFS('Plan rashoda za unos u SAP'!$I$3:$I$501,'Plan rashoda za unos u SAP'!$C$3:$C$501,"=575",'Plan rashoda za unos u SAP'!$M$3:$M$501,"=323")</f>
        <v>0</v>
      </c>
      <c r="Q12" s="141">
        <f>SUMIFS('Plan rashoda za unos u SAP'!$I$3:$I$501,'Plan rashoda za unos u SAP'!$C$3:$C$501,"=61",'Plan rashoda za unos u SAP'!$M$3:$M$501,"=323")</f>
        <v>0</v>
      </c>
      <c r="R12" s="141">
        <f>SUMIFS('Plan rashoda za unos u SAP'!$I$3:$I$501,'Plan rashoda za unos u SAP'!$C$3:$C$501,"=63",'Plan rashoda za unos u SAP'!$M$3:$M$501,"=323")</f>
        <v>0</v>
      </c>
      <c r="S12" s="141">
        <f>SUMIFS('Plan rashoda za unos u SAP'!$I$3:$I$501,'Plan rashoda za unos u SAP'!$C$3:$C$501,"=71",'Plan rashoda za unos u SAP'!$M$3:$M$501,"=323")</f>
        <v>0</v>
      </c>
      <c r="T12" s="141">
        <f>SUMIFS('Plan rashoda za unos u SAP'!$I$3:$I$501,'Plan rashoda za unos u SAP'!$C$3:$C$501,"=81",'Plan rashoda za unos u SAP'!$M$3:$M$501,"=323")</f>
        <v>0</v>
      </c>
      <c r="U12" s="141">
        <f>SUMIFS('Plan rashoda za unos u SAP'!$I$3:$I$501,'Plan rashoda za unos u SAP'!$C$3:$C$501,"=83",'Plan rashoda za unos u SAP'!$M$3:$M$501,"=323")</f>
        <v>0</v>
      </c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</row>
    <row r="13" spans="1:261" s="5" customFormat="1" ht="12.6" customHeight="1">
      <c r="A13" s="84">
        <v>324</v>
      </c>
      <c r="B13" s="88" t="s">
        <v>99</v>
      </c>
      <c r="C13" s="15">
        <f t="shared" si="4"/>
        <v>13500</v>
      </c>
      <c r="D13" s="141">
        <f>SUMIFS('Plan rashoda za unos u SAP'!$I$3:$I$501,'Plan rashoda za unos u SAP'!$C$3:$C$501,"=11",'Plan rashoda za unos u SAP'!$M$3:$M$501,"=324")</f>
        <v>0</v>
      </c>
      <c r="E13" s="141">
        <f>SUMIFS('Plan rashoda za unos u SAP'!$I$3:$I$501,'Plan rashoda za unos u SAP'!$C$3:$C$501,"=12",'Plan rashoda za unos u SAP'!$M$3:$M$501,"=324")</f>
        <v>525</v>
      </c>
      <c r="F13" s="141">
        <f>SUMIFS('Plan rashoda za unos u SAP'!$I$3:$I$501,'Plan rashoda za unos u SAP'!$C$3:$C$501,"=31",'Plan rashoda za unos u SAP'!$M$3:$M$501,"=324")</f>
        <v>10000</v>
      </c>
      <c r="G13" s="141">
        <f>SUMIFS('Plan rashoda za unos u SAP'!$I$3:$I$501,'Plan rashoda za unos u SAP'!$C$3:$C$501,"=41",'Plan rashoda za unos u SAP'!$M$3:$M$501,"=324")</f>
        <v>0</v>
      </c>
      <c r="H13" s="141">
        <f>SUMIFS('Plan rashoda za unos u SAP'!$I$3:$I$501,'Plan rashoda za unos u SAP'!$C$3:$C$501,"=43",'Plan rashoda za unos u SAP'!$M$3:$M$501,"=324")</f>
        <v>0</v>
      </c>
      <c r="I13" s="141">
        <f>SUMIFS('Plan rashoda za unos u SAP'!$I$3:$I$501,'Plan rashoda za unos u SAP'!$C$3:$C$501,"=51",'Plan rashoda za unos u SAP'!$M$3:$M$501,"=324")</f>
        <v>0</v>
      </c>
      <c r="J13" s="141">
        <f>SUMIFS('Plan rashoda za unos u SAP'!$I$3:$I$501,'Plan rashoda za unos u SAP'!$C$3:$C$501,"=52",'Plan rashoda za unos u SAP'!$M$3:$M$501,"=324")</f>
        <v>0</v>
      </c>
      <c r="K13" s="141">
        <f>SUMIFS('Plan rashoda za unos u SAP'!$I$3:$I$501,'Plan rashoda za unos u SAP'!$C$3:$C$501,"=552",'Plan rashoda za unos u SAP'!$M$3:$M$501,"=324")</f>
        <v>0</v>
      </c>
      <c r="L13" s="141">
        <f>SUMIFS('Plan rashoda za unos u SAP'!$I$3:$I$501,'Plan rashoda za unos u SAP'!$C$3:$C$501,"=559",'Plan rashoda za unos u SAP'!$M$3:$M$501,"=324")</f>
        <v>0</v>
      </c>
      <c r="M13" s="141">
        <f>SUMIFS('Plan rashoda za unos u SAP'!$I$3:$I$501,'Plan rashoda za unos u SAP'!$C$3:$C$501,"=561",'Plan rashoda za unos u SAP'!$M$3:$M$501,"=324")</f>
        <v>2975</v>
      </c>
      <c r="N13" s="141">
        <f>SUMIFS('Plan rashoda za unos u SAP'!$I$3:$I$501,'Plan rashoda za unos u SAP'!$C$3:$C$501,"=563",'Plan rashoda za unos u SAP'!$M$3:$M$501,"=324")</f>
        <v>0</v>
      </c>
      <c r="O13" s="141">
        <f>SUMIFS('Plan rashoda za unos u SAP'!$I$3:$I$501,'Plan rashoda za unos u SAP'!$C$3:$C$501,"=573",'Plan rashoda za unos u SAP'!$M$3:$M$501,"=324")</f>
        <v>0</v>
      </c>
      <c r="P13" s="141">
        <f>SUMIFS('Plan rashoda za unos u SAP'!$I$3:$I$501,'Plan rashoda za unos u SAP'!$C$3:$C$501,"=575",'Plan rashoda za unos u SAP'!$M$3:$M$501,"=324")</f>
        <v>0</v>
      </c>
      <c r="Q13" s="141">
        <f>SUMIFS('Plan rashoda za unos u SAP'!$I$3:$I$501,'Plan rashoda za unos u SAP'!$C$3:$C$501,"=61",'Plan rashoda za unos u SAP'!$M$3:$M$501,"=324")</f>
        <v>0</v>
      </c>
      <c r="R13" s="141">
        <f>SUMIFS('Plan rashoda za unos u SAP'!$I$3:$I$501,'Plan rashoda za unos u SAP'!$C$3:$C$501,"=63",'Plan rashoda za unos u SAP'!$M$3:$M$501,"=324")</f>
        <v>0</v>
      </c>
      <c r="S13" s="141">
        <f>SUMIFS('Plan rashoda za unos u SAP'!$I$3:$I$501,'Plan rashoda za unos u SAP'!$C$3:$C$501,"=71",'Plan rashoda za unos u SAP'!$M$3:$M$501,"=324")</f>
        <v>0</v>
      </c>
      <c r="T13" s="141">
        <f>SUMIFS('Plan rashoda za unos u SAP'!$I$3:$I$501,'Plan rashoda za unos u SAP'!$C$3:$C$501,"=81",'Plan rashoda za unos u SAP'!$M$3:$M$501,"=324")</f>
        <v>0</v>
      </c>
      <c r="U13" s="141">
        <f>SUMIFS('Plan rashoda za unos u SAP'!$I$3:$I$501,'Plan rashoda za unos u SAP'!$C$3:$C$501,"=83",'Plan rashoda za unos u SAP'!$M$3:$M$501,"=324")</f>
        <v>0</v>
      </c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</row>
    <row r="14" spans="1:261" s="5" customFormat="1" ht="12.6" customHeight="1">
      <c r="A14" s="84">
        <v>329</v>
      </c>
      <c r="B14" s="9" t="s">
        <v>76</v>
      </c>
      <c r="C14" s="15">
        <f t="shared" si="4"/>
        <v>546096</v>
      </c>
      <c r="D14" s="141">
        <f>SUMIFS('Plan rashoda za unos u SAP'!$I$3:$I$501,'Plan rashoda za unos u SAP'!$C$3:$C$501,"=11",'Plan rashoda za unos u SAP'!$M$3:$M$501,"=329")</f>
        <v>257484</v>
      </c>
      <c r="E14" s="141">
        <f>SUMIFS('Plan rashoda za unos u SAP'!$I$3:$I$501,'Plan rashoda za unos u SAP'!$C$3:$C$501,"=12",'Plan rashoda za unos u SAP'!$M$3:$M$501,"=329")</f>
        <v>541</v>
      </c>
      <c r="F14" s="141">
        <f>SUMIFS('Plan rashoda za unos u SAP'!$I$3:$I$501,'Plan rashoda za unos u SAP'!$C$3:$C$501,"=31",'Plan rashoda za unos u SAP'!$M$3:$M$501,"=329")</f>
        <v>125000</v>
      </c>
      <c r="G14" s="141">
        <f>SUMIFS('Plan rashoda za unos u SAP'!$I$3:$I$501,'Plan rashoda za unos u SAP'!$C$3:$C$501,"=41",'Plan rashoda za unos u SAP'!$M$3:$M$501,"=329")</f>
        <v>0</v>
      </c>
      <c r="H14" s="141">
        <f>SUMIFS('Plan rashoda za unos u SAP'!$I$3:$I$501,'Plan rashoda za unos u SAP'!$C$3:$C$501,"=43",'Plan rashoda za unos u SAP'!$M$3:$M$501,"=329")</f>
        <v>150000</v>
      </c>
      <c r="I14" s="141">
        <f>SUMIFS('Plan rashoda za unos u SAP'!$I$3:$I$501,'Plan rashoda za unos u SAP'!$C$3:$C$501,"=51",'Plan rashoda za unos u SAP'!$M$3:$M$501,"=329")</f>
        <v>0</v>
      </c>
      <c r="J14" s="141">
        <f>SUMIFS('Plan rashoda za unos u SAP'!$I$3:$I$501,'Plan rashoda za unos u SAP'!$C$3:$C$501,"=52",'Plan rashoda za unos u SAP'!$M$3:$M$501,"=329")</f>
        <v>10000</v>
      </c>
      <c r="K14" s="141">
        <f>SUMIFS('Plan rashoda za unos u SAP'!$I$3:$I$501,'Plan rashoda za unos u SAP'!$C$3:$C$501,"=552",'Plan rashoda za unos u SAP'!$M$3:$M$501,"=329")</f>
        <v>0</v>
      </c>
      <c r="L14" s="141">
        <f>SUMIFS('Plan rashoda za unos u SAP'!$I$3:$I$501,'Plan rashoda za unos u SAP'!$C$3:$C$501,"=559",'Plan rashoda za unos u SAP'!$M$3:$M$501,"=329")</f>
        <v>0</v>
      </c>
      <c r="M14" s="141">
        <f>SUMIFS('Plan rashoda za unos u SAP'!$I$3:$I$501,'Plan rashoda za unos u SAP'!$C$3:$C$501,"=561",'Plan rashoda za unos u SAP'!$M$3:$M$501,"=329")</f>
        <v>3071</v>
      </c>
      <c r="N14" s="141">
        <f>SUMIFS('Plan rashoda za unos u SAP'!$I$3:$I$501,'Plan rashoda za unos u SAP'!$C$3:$C$501,"=563",'Plan rashoda za unos u SAP'!$M$3:$M$501,"=329")</f>
        <v>0</v>
      </c>
      <c r="O14" s="141">
        <f>SUMIFS('Plan rashoda za unos u SAP'!$I$3:$I$501,'Plan rashoda za unos u SAP'!$C$3:$C$501,"=573",'Plan rashoda za unos u SAP'!$M$3:$M$501,"=329")</f>
        <v>0</v>
      </c>
      <c r="P14" s="141">
        <f>SUMIFS('Plan rashoda za unos u SAP'!$I$3:$I$501,'Plan rashoda za unos u SAP'!$C$3:$C$501,"=575",'Plan rashoda za unos u SAP'!$M$3:$M$501,"=329")</f>
        <v>0</v>
      </c>
      <c r="Q14" s="141">
        <f>SUMIFS('Plan rashoda za unos u SAP'!$I$3:$I$501,'Plan rashoda za unos u SAP'!$C$3:$C$501,"=61",'Plan rashoda za unos u SAP'!$M$3:$M$501,"=329")</f>
        <v>0</v>
      </c>
      <c r="R14" s="141">
        <f>SUMIFS('Plan rashoda za unos u SAP'!$I$3:$I$501,'Plan rashoda za unos u SAP'!$C$3:$C$501,"=63",'Plan rashoda za unos u SAP'!$M$3:$M$501,"=329")</f>
        <v>0</v>
      </c>
      <c r="S14" s="141">
        <f>SUMIFS('Plan rashoda za unos u SAP'!$I$3:$I$501,'Plan rashoda za unos u SAP'!$C$3:$C$501,"=71",'Plan rashoda za unos u SAP'!$M$3:$M$501,"=329")</f>
        <v>0</v>
      </c>
      <c r="T14" s="141">
        <f>SUMIFS('Plan rashoda za unos u SAP'!$I$3:$I$501,'Plan rashoda za unos u SAP'!$C$3:$C$501,"=81",'Plan rashoda za unos u SAP'!$M$3:$M$501,"=329")</f>
        <v>0</v>
      </c>
      <c r="U14" s="141">
        <f>SUMIFS('Plan rashoda za unos u SAP'!$I$3:$I$501,'Plan rashoda za unos u SAP'!$C$3:$C$501,"=83",'Plan rashoda za unos u SAP'!$M$3:$M$501,"=329")</f>
        <v>0</v>
      </c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  <c r="IW14" s="74"/>
      <c r="IX14" s="74"/>
      <c r="IY14" s="74"/>
      <c r="IZ14" s="74"/>
      <c r="JA14" s="74"/>
    </row>
    <row r="15" spans="1:261" s="17" customFormat="1" ht="12.6" customHeight="1">
      <c r="A15" s="85">
        <v>34</v>
      </c>
      <c r="B15" s="16" t="s">
        <v>223</v>
      </c>
      <c r="C15" s="4">
        <f t="shared" si="4"/>
        <v>359000</v>
      </c>
      <c r="D15" s="4">
        <f t="shared" ref="D15:U15" si="15">SUM(D16:D18)</f>
        <v>289000</v>
      </c>
      <c r="E15" s="4">
        <f t="shared" si="15"/>
        <v>0</v>
      </c>
      <c r="F15" s="4">
        <f t="shared" si="15"/>
        <v>70000</v>
      </c>
      <c r="G15" s="4">
        <f>SUM(G16:G18)</f>
        <v>0</v>
      </c>
      <c r="H15" s="4">
        <f t="shared" si="15"/>
        <v>0</v>
      </c>
      <c r="I15" s="4">
        <f t="shared" si="15"/>
        <v>0</v>
      </c>
      <c r="J15" s="4">
        <f t="shared" si="15"/>
        <v>0</v>
      </c>
      <c r="K15" s="4">
        <f>SUM(K16:K18)</f>
        <v>0</v>
      </c>
      <c r="L15" s="4">
        <f t="shared" si="15"/>
        <v>0</v>
      </c>
      <c r="M15" s="4">
        <f t="shared" si="15"/>
        <v>0</v>
      </c>
      <c r="N15" s="4">
        <f t="shared" si="15"/>
        <v>0</v>
      </c>
      <c r="O15" s="4">
        <f t="shared" ref="O15:P15" si="16">SUM(O16:O18)</f>
        <v>0</v>
      </c>
      <c r="P15" s="4">
        <f t="shared" si="16"/>
        <v>0</v>
      </c>
      <c r="Q15" s="4">
        <f t="shared" si="15"/>
        <v>0</v>
      </c>
      <c r="R15" s="4">
        <f t="shared" si="15"/>
        <v>0</v>
      </c>
      <c r="S15" s="4">
        <f t="shared" si="15"/>
        <v>0</v>
      </c>
      <c r="T15" s="4">
        <f t="shared" si="15"/>
        <v>0</v>
      </c>
      <c r="U15" s="4">
        <f t="shared" si="15"/>
        <v>0</v>
      </c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  <c r="IW15" s="87"/>
      <c r="IX15" s="87"/>
      <c r="IY15" s="87"/>
      <c r="IZ15" s="87"/>
      <c r="JA15" s="87"/>
    </row>
    <row r="16" spans="1:261" s="17" customFormat="1" ht="12.6" customHeight="1">
      <c r="A16" s="89">
        <v>341</v>
      </c>
      <c r="B16" s="9" t="s">
        <v>348</v>
      </c>
      <c r="C16" s="15">
        <f t="shared" si="4"/>
        <v>0</v>
      </c>
      <c r="D16" s="141">
        <f>SUMIFS('Plan rashoda za unos u SAP'!$I$3:$I$501,'Plan rashoda za unos u SAP'!$C$3:$C$501,"=11",'Plan rashoda za unos u SAP'!$M$3:$M$501,"=341")</f>
        <v>0</v>
      </c>
      <c r="E16" s="141">
        <f>SUMIFS('Plan rashoda za unos u SAP'!$I$3:$I$501,'Plan rashoda za unos u SAP'!$C$3:$C$501,"=12",'Plan rashoda za unos u SAP'!$M$3:$M$501,"=341")</f>
        <v>0</v>
      </c>
      <c r="F16" s="141">
        <f>SUMIFS('Plan rashoda za unos u SAP'!$I$3:$I$501,'Plan rashoda za unos u SAP'!$C$3:$C$501,"=31",'Plan rashoda za unos u SAP'!$M$3:$M$501,"=341")</f>
        <v>0</v>
      </c>
      <c r="G16" s="141">
        <f>SUMIFS('Plan rashoda za unos u SAP'!$I$3:$I$501,'Plan rashoda za unos u SAP'!$C$3:$C$501,"=41",'Plan rashoda za unos u SAP'!$M$3:$M$501,"=341")</f>
        <v>0</v>
      </c>
      <c r="H16" s="141">
        <f>SUMIFS('Plan rashoda za unos u SAP'!$I$3:$I$501,'Plan rashoda za unos u SAP'!$C$3:$C$501,"=43",'Plan rashoda za unos u SAP'!$M$3:$M$501,"=341")</f>
        <v>0</v>
      </c>
      <c r="I16" s="141">
        <f>SUMIFS('Plan rashoda za unos u SAP'!$I$3:$I$501,'Plan rashoda za unos u SAP'!$C$3:$C$501,"=51",'Plan rashoda za unos u SAP'!$M$3:$M$501,"=341")</f>
        <v>0</v>
      </c>
      <c r="J16" s="141">
        <f>SUMIFS('Plan rashoda za unos u SAP'!$I$3:$I$501,'Plan rashoda za unos u SAP'!$C$3:$C$501,"=52",'Plan rashoda za unos u SAP'!$M$3:$M$501,"=341")</f>
        <v>0</v>
      </c>
      <c r="K16" s="141">
        <f>SUMIFS('Plan rashoda za unos u SAP'!$I$3:$I$501,'Plan rashoda za unos u SAP'!$C$3:$C$501,"=552",'Plan rashoda za unos u SAP'!$M$3:$M$501,"=341")</f>
        <v>0</v>
      </c>
      <c r="L16" s="141">
        <f>SUMIFS('Plan rashoda za unos u SAP'!$I$3:$I$501,'Plan rashoda za unos u SAP'!$C$3:$C$501,"=559",'Plan rashoda za unos u SAP'!$M$3:$M$501,"=341")</f>
        <v>0</v>
      </c>
      <c r="M16" s="141">
        <f>SUMIFS('Plan rashoda za unos u SAP'!$I$3:$I$501,'Plan rashoda za unos u SAP'!$C$3:$C$501,"=561",'Plan rashoda za unos u SAP'!$M$3:$M$501,"=341")</f>
        <v>0</v>
      </c>
      <c r="N16" s="141">
        <f>SUMIFS('Plan rashoda za unos u SAP'!$I$3:$I$501,'Plan rashoda za unos u SAP'!$C$3:$C$501,"=563",'Plan rashoda za unos u SAP'!$M$3:$M$501,"=341")</f>
        <v>0</v>
      </c>
      <c r="O16" s="141">
        <f>SUMIFS('Plan rashoda za unos u SAP'!$I$3:$I$501,'Plan rashoda za unos u SAP'!$C$3:$C$501,"=573",'Plan rashoda za unos u SAP'!$M$3:$M$501,"=341")</f>
        <v>0</v>
      </c>
      <c r="P16" s="141">
        <f>SUMIFS('Plan rashoda za unos u SAP'!$I$3:$I$501,'Plan rashoda za unos u SAP'!$C$3:$C$501,"=575",'Plan rashoda za unos u SAP'!$M$3:$M$501,"=341")</f>
        <v>0</v>
      </c>
      <c r="Q16" s="141">
        <f>SUMIFS('Plan rashoda za unos u SAP'!$I$3:$I$501,'Plan rashoda za unos u SAP'!$C$3:$C$501,"=61",'Plan rashoda za unos u SAP'!$M$3:$M$501,"=341")</f>
        <v>0</v>
      </c>
      <c r="R16" s="141">
        <f>SUMIFS('Plan rashoda za unos u SAP'!$I$3:$I$501,'Plan rashoda za unos u SAP'!$C$3:$C$501,"=63",'Plan rashoda za unos u SAP'!$M$3:$M$501,"=341")</f>
        <v>0</v>
      </c>
      <c r="S16" s="141">
        <f>SUMIFS('Plan rashoda za unos u SAP'!$I$3:$I$501,'Plan rashoda za unos u SAP'!$C$3:$C$501,"=71",'Plan rashoda za unos u SAP'!$M$3:$M$501,"=341")</f>
        <v>0</v>
      </c>
      <c r="T16" s="141">
        <f>SUMIFS('Plan rashoda za unos u SAP'!$I$3:$I$501,'Plan rashoda za unos u SAP'!$C$3:$C$501,"=81",'Plan rashoda za unos u SAP'!$M$3:$M$501,"=341")</f>
        <v>0</v>
      </c>
      <c r="U16" s="141">
        <f>SUMIFS('Plan rashoda za unos u SAP'!$I$3:$I$501,'Plan rashoda za unos u SAP'!$C$3:$C$501,"=83",'Plan rashoda za unos u SAP'!$M$3:$M$501,"=341")</f>
        <v>0</v>
      </c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  <c r="IW16" s="87"/>
      <c r="IX16" s="87"/>
      <c r="IY16" s="87"/>
      <c r="IZ16" s="87"/>
      <c r="JA16" s="87"/>
    </row>
    <row r="17" spans="1:261" s="17" customFormat="1" ht="12.6" customHeight="1">
      <c r="A17" s="89">
        <v>342</v>
      </c>
      <c r="B17" s="9" t="s">
        <v>349</v>
      </c>
      <c r="C17" s="15">
        <f t="shared" si="4"/>
        <v>0</v>
      </c>
      <c r="D17" s="141">
        <f>SUMIFS('Plan rashoda za unos u SAP'!$I$3:$I$501,'Plan rashoda za unos u SAP'!$C$3:$C$501,"=11",'Plan rashoda za unos u SAP'!$M$3:$M$501,"=342")</f>
        <v>0</v>
      </c>
      <c r="E17" s="141">
        <f>SUMIFS('Plan rashoda za unos u SAP'!$I$3:$I$501,'Plan rashoda za unos u SAP'!$C$3:$C$501,"=12",'Plan rashoda za unos u SAP'!$M$3:$M$501,"=342")</f>
        <v>0</v>
      </c>
      <c r="F17" s="141">
        <f>SUMIFS('Plan rashoda za unos u SAP'!$I$3:$I$501,'Plan rashoda za unos u SAP'!$C$3:$C$501,"=31",'Plan rashoda za unos u SAP'!$M$3:$M$501,"=342")</f>
        <v>0</v>
      </c>
      <c r="G17" s="141">
        <f>SUMIFS('Plan rashoda za unos u SAP'!$I$3:$I$501,'Plan rashoda za unos u SAP'!$C$3:$C$501,"=41",'Plan rashoda za unos u SAP'!$M$3:$M$501,"=342")</f>
        <v>0</v>
      </c>
      <c r="H17" s="141">
        <f>SUMIFS('Plan rashoda za unos u SAP'!$I$3:$I$501,'Plan rashoda za unos u SAP'!$C$3:$C$501,"=43",'Plan rashoda za unos u SAP'!$M$3:$M$501,"=342")</f>
        <v>0</v>
      </c>
      <c r="I17" s="141">
        <f>SUMIFS('Plan rashoda za unos u SAP'!$I$3:$I$501,'Plan rashoda za unos u SAP'!$C$3:$C$501,"=51",'Plan rashoda za unos u SAP'!$M$3:$M$501,"=342")</f>
        <v>0</v>
      </c>
      <c r="J17" s="141">
        <f>SUMIFS('Plan rashoda za unos u SAP'!$I$3:$I$501,'Plan rashoda za unos u SAP'!$C$3:$C$501,"=52",'Plan rashoda za unos u SAP'!$M$3:$M$501,"=342")</f>
        <v>0</v>
      </c>
      <c r="K17" s="141">
        <f>SUMIFS('Plan rashoda za unos u SAP'!$I$3:$I$501,'Plan rashoda za unos u SAP'!$C$3:$C$501,"=552",'Plan rashoda za unos u SAP'!$M$3:$M$501,"=342")</f>
        <v>0</v>
      </c>
      <c r="L17" s="141">
        <f>SUMIFS('Plan rashoda za unos u SAP'!$I$3:$I$501,'Plan rashoda za unos u SAP'!$C$3:$C$501,"=559",'Plan rashoda za unos u SAP'!$M$3:$M$501,"=342")</f>
        <v>0</v>
      </c>
      <c r="M17" s="141">
        <f>SUMIFS('Plan rashoda za unos u SAP'!$I$3:$I$501,'Plan rashoda za unos u SAP'!$C$3:$C$501,"=561",'Plan rashoda za unos u SAP'!$M$3:$M$501,"=342")</f>
        <v>0</v>
      </c>
      <c r="N17" s="141">
        <f>SUMIFS('Plan rashoda za unos u SAP'!$I$3:$I$501,'Plan rashoda za unos u SAP'!$C$3:$C$501,"=563",'Plan rashoda za unos u SAP'!$M$3:$M$501,"=342")</f>
        <v>0</v>
      </c>
      <c r="O17" s="141">
        <f>SUMIFS('Plan rashoda za unos u SAP'!$I$3:$I$501,'Plan rashoda za unos u SAP'!$C$3:$C$501,"=573",'Plan rashoda za unos u SAP'!$M$3:$M$501,"=342")</f>
        <v>0</v>
      </c>
      <c r="P17" s="141">
        <f>SUMIFS('Plan rashoda za unos u SAP'!$I$3:$I$501,'Plan rashoda za unos u SAP'!$C$3:$C$501,"=575",'Plan rashoda za unos u SAP'!$M$3:$M$501,"=342")</f>
        <v>0</v>
      </c>
      <c r="Q17" s="141">
        <f>SUMIFS('Plan rashoda za unos u SAP'!$I$3:$I$501,'Plan rashoda za unos u SAP'!$C$3:$C$501,"=61",'Plan rashoda za unos u SAP'!$M$3:$M$501,"=342")</f>
        <v>0</v>
      </c>
      <c r="R17" s="141">
        <f>SUMIFS('Plan rashoda za unos u SAP'!$I$3:$I$501,'Plan rashoda za unos u SAP'!$C$3:$C$501,"=63",'Plan rashoda za unos u SAP'!$M$3:$M$501,"=342")</f>
        <v>0</v>
      </c>
      <c r="S17" s="141">
        <f>SUMIFS('Plan rashoda za unos u SAP'!$I$3:$I$501,'Plan rashoda za unos u SAP'!$C$3:$C$501,"=71",'Plan rashoda za unos u SAP'!$M$3:$M$501,"=342")</f>
        <v>0</v>
      </c>
      <c r="T17" s="141">
        <f>SUMIFS('Plan rashoda za unos u SAP'!$I$3:$I$501,'Plan rashoda za unos u SAP'!$C$3:$C$501,"=81",'Plan rashoda za unos u SAP'!$M$3:$M$501,"=342")</f>
        <v>0</v>
      </c>
      <c r="U17" s="141">
        <f>SUMIFS('Plan rashoda za unos u SAP'!$I$3:$I$501,'Plan rashoda za unos u SAP'!$C$3:$C$501,"=83",'Plan rashoda za unos u SAP'!$M$3:$M$501,"=342")</f>
        <v>0</v>
      </c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  <c r="IW17" s="87"/>
      <c r="IX17" s="87"/>
      <c r="IY17" s="87"/>
      <c r="IZ17" s="87"/>
      <c r="JA17" s="87"/>
    </row>
    <row r="18" spans="1:261" s="18" customFormat="1" ht="12.6" customHeight="1">
      <c r="A18" s="89">
        <v>343</v>
      </c>
      <c r="B18" s="9" t="s">
        <v>224</v>
      </c>
      <c r="C18" s="15">
        <f t="shared" si="4"/>
        <v>359000</v>
      </c>
      <c r="D18" s="141">
        <f>SUMIFS('Plan rashoda za unos u SAP'!$I$3:$I$501,'Plan rashoda za unos u SAP'!$C$3:$C$501,"=11",'Plan rashoda za unos u SAP'!$M$3:$M$501,"=343")</f>
        <v>289000</v>
      </c>
      <c r="E18" s="141">
        <f>SUMIFS('Plan rashoda za unos u SAP'!$I$3:$I$501,'Plan rashoda za unos u SAP'!$C$3:$C$501,"=12",'Plan rashoda za unos u SAP'!$M$3:$M$501,"=343")</f>
        <v>0</v>
      </c>
      <c r="F18" s="141">
        <f>SUMIFS('Plan rashoda za unos u SAP'!$I$3:$I$501,'Plan rashoda za unos u SAP'!$C$3:$C$501,"=31",'Plan rashoda za unos u SAP'!$M$3:$M$501,"=343")</f>
        <v>70000</v>
      </c>
      <c r="G18" s="141">
        <f>SUMIFS('Plan rashoda za unos u SAP'!$I$3:$I$501,'Plan rashoda za unos u SAP'!$C$3:$C$501,"=41",'Plan rashoda za unos u SAP'!$M$3:$M$501,"=343")</f>
        <v>0</v>
      </c>
      <c r="H18" s="141">
        <f>SUMIFS('Plan rashoda za unos u SAP'!$I$3:$I$501,'Plan rashoda za unos u SAP'!$C$3:$C$501,"=43",'Plan rashoda za unos u SAP'!$M$3:$M$501,"=343")</f>
        <v>0</v>
      </c>
      <c r="I18" s="141">
        <f>SUMIFS('Plan rashoda za unos u SAP'!$I$3:$I$501,'Plan rashoda za unos u SAP'!$C$3:$C$501,"=51",'Plan rashoda za unos u SAP'!$M$3:$M$501,"=343")</f>
        <v>0</v>
      </c>
      <c r="J18" s="141">
        <f>SUMIFS('Plan rashoda za unos u SAP'!$I$3:$I$501,'Plan rashoda za unos u SAP'!$C$3:$C$501,"=52",'Plan rashoda za unos u SAP'!$M$3:$M$501,"=343")</f>
        <v>0</v>
      </c>
      <c r="K18" s="141">
        <f>SUMIFS('Plan rashoda za unos u SAP'!$I$3:$I$501,'Plan rashoda za unos u SAP'!$C$3:$C$501,"=552",'Plan rashoda za unos u SAP'!$M$3:$M$501,"=343")</f>
        <v>0</v>
      </c>
      <c r="L18" s="141">
        <f>SUMIFS('Plan rashoda za unos u SAP'!$I$3:$I$501,'Plan rashoda za unos u SAP'!$C$3:$C$501,"=559",'Plan rashoda za unos u SAP'!$M$3:$M$501,"=343")</f>
        <v>0</v>
      </c>
      <c r="M18" s="141">
        <f>SUMIFS('Plan rashoda za unos u SAP'!$I$3:$I$501,'Plan rashoda za unos u SAP'!$C$3:$C$501,"=561",'Plan rashoda za unos u SAP'!$M$3:$M$501,"=343")</f>
        <v>0</v>
      </c>
      <c r="N18" s="141">
        <f>SUMIFS('Plan rashoda za unos u SAP'!$I$3:$I$501,'Plan rashoda za unos u SAP'!$C$3:$C$501,"=563",'Plan rashoda za unos u SAP'!$M$3:$M$501,"=343")</f>
        <v>0</v>
      </c>
      <c r="O18" s="141">
        <f>SUMIFS('Plan rashoda za unos u SAP'!$I$3:$I$501,'Plan rashoda za unos u SAP'!$C$3:$C$501,"=573",'Plan rashoda za unos u SAP'!$M$3:$M$501,"=343")</f>
        <v>0</v>
      </c>
      <c r="P18" s="141">
        <f>SUMIFS('Plan rashoda za unos u SAP'!$I$3:$I$501,'Plan rashoda za unos u SAP'!$C$3:$C$501,"=575",'Plan rashoda za unos u SAP'!$M$3:$M$501,"=343")</f>
        <v>0</v>
      </c>
      <c r="Q18" s="141">
        <f>SUMIFS('Plan rashoda za unos u SAP'!$I$3:$I$501,'Plan rashoda za unos u SAP'!$C$3:$C$501,"=61",'Plan rashoda za unos u SAP'!$M$3:$M$501,"=343")</f>
        <v>0</v>
      </c>
      <c r="R18" s="141">
        <f>SUMIFS('Plan rashoda za unos u SAP'!$I$3:$I$501,'Plan rashoda za unos u SAP'!$C$3:$C$501,"=63",'Plan rashoda za unos u SAP'!$M$3:$M$501,"=343")</f>
        <v>0</v>
      </c>
      <c r="S18" s="141">
        <f>SUMIFS('Plan rashoda za unos u SAP'!$I$3:$I$501,'Plan rashoda za unos u SAP'!$C$3:$C$501,"=71",'Plan rashoda za unos u SAP'!$M$3:$M$501,"=343")</f>
        <v>0</v>
      </c>
      <c r="T18" s="141">
        <f>SUMIFS('Plan rashoda za unos u SAP'!$I$3:$I$501,'Plan rashoda za unos u SAP'!$C$3:$C$501,"=81",'Plan rashoda za unos u SAP'!$M$3:$M$501,"=343")</f>
        <v>0</v>
      </c>
      <c r="U18" s="141">
        <f>SUMIFS('Plan rashoda za unos u SAP'!$I$3:$I$501,'Plan rashoda za unos u SAP'!$C$3:$C$501,"=83",'Plan rashoda za unos u SAP'!$M$3:$M$501,"=343")</f>
        <v>0</v>
      </c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</row>
    <row r="19" spans="1:261" s="86" customFormat="1" ht="12.6" customHeight="1">
      <c r="A19" s="85">
        <v>35</v>
      </c>
      <c r="B19" s="16" t="s">
        <v>350</v>
      </c>
      <c r="C19" s="4">
        <f t="shared" si="4"/>
        <v>0</v>
      </c>
      <c r="D19" s="79">
        <f>SUM(D20:D22)</f>
        <v>0</v>
      </c>
      <c r="E19" s="79">
        <f t="shared" ref="E19:U19" si="17">SUM(E20:E22)</f>
        <v>0</v>
      </c>
      <c r="F19" s="79">
        <f t="shared" si="17"/>
        <v>0</v>
      </c>
      <c r="G19" s="79">
        <f>SUM(G20:G22)</f>
        <v>0</v>
      </c>
      <c r="H19" s="79">
        <f t="shared" si="17"/>
        <v>0</v>
      </c>
      <c r="I19" s="79">
        <f t="shared" si="17"/>
        <v>0</v>
      </c>
      <c r="J19" s="79">
        <f t="shared" si="17"/>
        <v>0</v>
      </c>
      <c r="K19" s="79">
        <f t="shared" ref="K19" si="18">SUM(K20:K22)</f>
        <v>0</v>
      </c>
      <c r="L19" s="79">
        <f t="shared" si="17"/>
        <v>0</v>
      </c>
      <c r="M19" s="79">
        <f t="shared" si="17"/>
        <v>0</v>
      </c>
      <c r="N19" s="79">
        <f t="shared" si="17"/>
        <v>0</v>
      </c>
      <c r="O19" s="79">
        <f t="shared" ref="O19:P19" si="19">SUM(O20:O22)</f>
        <v>0</v>
      </c>
      <c r="P19" s="79">
        <f t="shared" si="19"/>
        <v>0</v>
      </c>
      <c r="Q19" s="79">
        <f t="shared" si="17"/>
        <v>0</v>
      </c>
      <c r="R19" s="79">
        <f t="shared" si="17"/>
        <v>0</v>
      </c>
      <c r="S19" s="79">
        <f t="shared" si="17"/>
        <v>0</v>
      </c>
      <c r="T19" s="79">
        <f t="shared" si="17"/>
        <v>0</v>
      </c>
      <c r="U19" s="79">
        <f t="shared" si="17"/>
        <v>0</v>
      </c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  <c r="IW19" s="87"/>
      <c r="IX19" s="87"/>
      <c r="IY19" s="87"/>
      <c r="IZ19" s="87"/>
      <c r="JA19" s="87"/>
    </row>
    <row r="20" spans="1:261" s="75" customFormat="1" ht="12.6" customHeight="1">
      <c r="A20" s="82">
        <v>351</v>
      </c>
      <c r="B20" s="82" t="s">
        <v>201</v>
      </c>
      <c r="C20" s="15">
        <f t="shared" si="4"/>
        <v>0</v>
      </c>
      <c r="D20" s="141">
        <f>SUMIFS('Plan rashoda za unos u SAP'!$I$3:$I$501,'Plan rashoda za unos u SAP'!$C$3:$C$501,"=11",'Plan rashoda za unos u SAP'!$M$3:$M$501,"=351")</f>
        <v>0</v>
      </c>
      <c r="E20" s="141">
        <f>SUMIFS('Plan rashoda za unos u SAP'!$I$3:$I$501,'Plan rashoda za unos u SAP'!$C$3:$C$501,"=12",'Plan rashoda za unos u SAP'!$M$3:$M$501,"=351")</f>
        <v>0</v>
      </c>
      <c r="F20" s="141">
        <f>SUMIFS('Plan rashoda za unos u SAP'!$I$3:$I$501,'Plan rashoda za unos u SAP'!$C$3:$C$501,"=31",'Plan rashoda za unos u SAP'!$M$3:$M$501,"=351")</f>
        <v>0</v>
      </c>
      <c r="G20" s="141">
        <f>SUMIFS('Plan rashoda za unos u SAP'!$I$3:$I$501,'Plan rashoda za unos u SAP'!$C$3:$C$501,"=41",'Plan rashoda za unos u SAP'!$M$3:$M$501,"=351")</f>
        <v>0</v>
      </c>
      <c r="H20" s="141">
        <f>SUMIFS('Plan rashoda za unos u SAP'!$I$3:$I$501,'Plan rashoda za unos u SAP'!$C$3:$C$501,"=43",'Plan rashoda za unos u SAP'!$M$3:$M$501,"=351")</f>
        <v>0</v>
      </c>
      <c r="I20" s="141">
        <f>SUMIFS('Plan rashoda za unos u SAP'!$I$3:$I$501,'Plan rashoda za unos u SAP'!$C$3:$C$501,"=51",'Plan rashoda za unos u SAP'!$M$3:$M$501,"=351")</f>
        <v>0</v>
      </c>
      <c r="J20" s="141">
        <f>SUMIFS('Plan rashoda za unos u SAP'!$I$3:$I$501,'Plan rashoda za unos u SAP'!$C$3:$C$501,"=52",'Plan rashoda za unos u SAP'!$M$3:$M$501,"=351")</f>
        <v>0</v>
      </c>
      <c r="K20" s="141">
        <f>SUMIFS('Plan rashoda za unos u SAP'!$I$3:$I$501,'Plan rashoda za unos u SAP'!$C$3:$C$501,"=552",'Plan rashoda za unos u SAP'!$M$3:$M$501,"=351")</f>
        <v>0</v>
      </c>
      <c r="L20" s="141">
        <f>SUMIFS('Plan rashoda za unos u SAP'!$I$3:$I$501,'Plan rashoda za unos u SAP'!$C$3:$C$501,"=559",'Plan rashoda za unos u SAP'!$M$3:$M$501,"=351")</f>
        <v>0</v>
      </c>
      <c r="M20" s="141">
        <f>SUMIFS('Plan rashoda za unos u SAP'!$I$3:$I$501,'Plan rashoda za unos u SAP'!$C$3:$C$501,"=561",'Plan rashoda za unos u SAP'!$M$3:$M$501,"=351")</f>
        <v>0</v>
      </c>
      <c r="N20" s="141">
        <f>SUMIFS('Plan rashoda za unos u SAP'!$I$3:$I$501,'Plan rashoda za unos u SAP'!$C$3:$C$501,"=563",'Plan rashoda za unos u SAP'!$M$3:$M$501,"=351")</f>
        <v>0</v>
      </c>
      <c r="O20" s="141">
        <f>SUMIFS('Plan rashoda za unos u SAP'!$I$3:$I$501,'Plan rashoda za unos u SAP'!$C$3:$C$501,"=573",'Plan rashoda za unos u SAP'!$M$3:$M$501,"=351")</f>
        <v>0</v>
      </c>
      <c r="P20" s="141">
        <f>SUMIFS('Plan rashoda za unos u SAP'!$I$3:$I$501,'Plan rashoda za unos u SAP'!$C$3:$C$501,"=575",'Plan rashoda za unos u SAP'!$M$3:$M$501,"=351")</f>
        <v>0</v>
      </c>
      <c r="Q20" s="141">
        <f>SUMIFS('Plan rashoda za unos u SAP'!$I$3:$I$501,'Plan rashoda za unos u SAP'!$C$3:$C$501,"=61",'Plan rashoda za unos u SAP'!$M$3:$M$501,"=351")</f>
        <v>0</v>
      </c>
      <c r="R20" s="141">
        <f>SUMIFS('Plan rashoda za unos u SAP'!$I$3:$I$501,'Plan rashoda za unos u SAP'!$C$3:$C$501,"=63",'Plan rashoda za unos u SAP'!$M$3:$M$501,"=351")</f>
        <v>0</v>
      </c>
      <c r="S20" s="141">
        <f>SUMIFS('Plan rashoda za unos u SAP'!$I$3:$I$501,'Plan rashoda za unos u SAP'!$C$3:$C$501,"=71",'Plan rashoda za unos u SAP'!$M$3:$M$501,"=351")</f>
        <v>0</v>
      </c>
      <c r="T20" s="141">
        <f>SUMIFS('Plan rashoda za unos u SAP'!$I$3:$I$501,'Plan rashoda za unos u SAP'!$C$3:$C$501,"=81",'Plan rashoda za unos u SAP'!$M$3:$M$501,"=351")</f>
        <v>0</v>
      </c>
      <c r="U20" s="141">
        <f>SUMIFS('Plan rashoda za unos u SAP'!$I$3:$I$501,'Plan rashoda za unos u SAP'!$C$3:$C$501,"=83",'Plan rashoda za unos u SAP'!$M$3:$M$501,"=351")</f>
        <v>0</v>
      </c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</row>
    <row r="21" spans="1:261" s="5" customFormat="1" ht="12.6" customHeight="1">
      <c r="A21" s="83">
        <v>352</v>
      </c>
      <c r="B21" s="9" t="s">
        <v>351</v>
      </c>
      <c r="C21" s="15">
        <f t="shared" si="4"/>
        <v>0</v>
      </c>
      <c r="D21" s="141">
        <f>SUMIFS('Plan rashoda za unos u SAP'!$I$3:$I$501,'Plan rashoda za unos u SAP'!$C$3:$C$501,"=11",'Plan rashoda za unos u SAP'!$M$3:$M$501,"=352")</f>
        <v>0</v>
      </c>
      <c r="E21" s="141">
        <f>SUMIFS('Plan rashoda za unos u SAP'!$I$3:$I$501,'Plan rashoda za unos u SAP'!$C$3:$C$501,"=12",'Plan rashoda za unos u SAP'!$M$3:$M$501,"=352")</f>
        <v>0</v>
      </c>
      <c r="F21" s="141">
        <f>SUMIFS('Plan rashoda za unos u SAP'!$I$3:$I$501,'Plan rashoda za unos u SAP'!$C$3:$C$501,"=31",'Plan rashoda za unos u SAP'!$M$3:$M$501,"=352")</f>
        <v>0</v>
      </c>
      <c r="G21" s="141">
        <f>SUMIFS('Plan rashoda za unos u SAP'!$I$3:$I$501,'Plan rashoda za unos u SAP'!$C$3:$C$501,"=41",'Plan rashoda za unos u SAP'!$M$3:$M$501,"=352")</f>
        <v>0</v>
      </c>
      <c r="H21" s="141">
        <f>SUMIFS('Plan rashoda za unos u SAP'!$I$3:$I$501,'Plan rashoda za unos u SAP'!$C$3:$C$501,"=43",'Plan rashoda za unos u SAP'!$M$3:$M$501,"=352")</f>
        <v>0</v>
      </c>
      <c r="I21" s="141">
        <f>SUMIFS('Plan rashoda za unos u SAP'!$I$3:$I$501,'Plan rashoda za unos u SAP'!$C$3:$C$501,"=51",'Plan rashoda za unos u SAP'!$M$3:$M$501,"=352")</f>
        <v>0</v>
      </c>
      <c r="J21" s="141">
        <f>SUMIFS('Plan rashoda za unos u SAP'!$I$3:$I$501,'Plan rashoda za unos u SAP'!$C$3:$C$501,"=52",'Plan rashoda za unos u SAP'!$M$3:$M$501,"=352")</f>
        <v>0</v>
      </c>
      <c r="K21" s="141">
        <f>SUMIFS('Plan rashoda za unos u SAP'!$I$3:$I$501,'Plan rashoda za unos u SAP'!$C$3:$C$501,"=552",'Plan rashoda za unos u SAP'!$M$3:$M$501,"=352")</f>
        <v>0</v>
      </c>
      <c r="L21" s="141">
        <f>SUMIFS('Plan rashoda za unos u SAP'!$I$3:$I$501,'Plan rashoda za unos u SAP'!$C$3:$C$501,"=559",'Plan rashoda za unos u SAP'!$M$3:$M$501,"=352")</f>
        <v>0</v>
      </c>
      <c r="M21" s="141">
        <f>SUMIFS('Plan rashoda za unos u SAP'!$I$3:$I$501,'Plan rashoda za unos u SAP'!$C$3:$C$501,"=561",'Plan rashoda za unos u SAP'!$M$3:$M$501,"=352")</f>
        <v>0</v>
      </c>
      <c r="N21" s="141">
        <f>SUMIFS('Plan rashoda za unos u SAP'!$I$3:$I$501,'Plan rashoda za unos u SAP'!$C$3:$C$501,"=563",'Plan rashoda za unos u SAP'!$M$3:$M$501,"=352")</f>
        <v>0</v>
      </c>
      <c r="O21" s="141">
        <f>SUMIFS('Plan rashoda za unos u SAP'!$I$3:$I$501,'Plan rashoda za unos u SAP'!$C$3:$C$501,"=573",'Plan rashoda za unos u SAP'!$M$3:$M$501,"=352")</f>
        <v>0</v>
      </c>
      <c r="P21" s="141">
        <f>SUMIFS('Plan rashoda za unos u SAP'!$I$3:$I$501,'Plan rashoda za unos u SAP'!$C$3:$C$501,"=575",'Plan rashoda za unos u SAP'!$M$3:$M$501,"=352")</f>
        <v>0</v>
      </c>
      <c r="Q21" s="141">
        <f>SUMIFS('Plan rashoda za unos u SAP'!$I$3:$I$501,'Plan rashoda za unos u SAP'!$C$3:$C$501,"=61",'Plan rashoda za unos u SAP'!$M$3:$M$501,"=352")</f>
        <v>0</v>
      </c>
      <c r="R21" s="141">
        <f>SUMIFS('Plan rashoda za unos u SAP'!$I$3:$I$501,'Plan rashoda za unos u SAP'!$C$3:$C$501,"=63",'Plan rashoda za unos u SAP'!$M$3:$M$501,"=352")</f>
        <v>0</v>
      </c>
      <c r="S21" s="141">
        <f>SUMIFS('Plan rashoda za unos u SAP'!$I$3:$I$501,'Plan rashoda za unos u SAP'!$C$3:$C$501,"=71",'Plan rashoda za unos u SAP'!$M$3:$M$501,"=352")</f>
        <v>0</v>
      </c>
      <c r="T21" s="141">
        <f>SUMIFS('Plan rashoda za unos u SAP'!$I$3:$I$501,'Plan rashoda za unos u SAP'!$C$3:$C$501,"=81",'Plan rashoda za unos u SAP'!$M$3:$M$501,"=352")</f>
        <v>0</v>
      </c>
      <c r="U21" s="141">
        <f>SUMIFS('Plan rashoda za unos u SAP'!$I$3:$I$501,'Plan rashoda za unos u SAP'!$C$3:$C$501,"=83",'Plan rashoda za unos u SAP'!$M$3:$M$501,"=352")</f>
        <v>0</v>
      </c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</row>
    <row r="22" spans="1:261" s="5" customFormat="1" ht="12.6" customHeight="1">
      <c r="A22" s="84">
        <v>353</v>
      </c>
      <c r="B22" s="9" t="s">
        <v>352</v>
      </c>
      <c r="C22" s="15">
        <f t="shared" si="4"/>
        <v>0</v>
      </c>
      <c r="D22" s="141">
        <f>SUMIFS('Plan rashoda za unos u SAP'!$I$3:$I$501,'Plan rashoda za unos u SAP'!$C$3:$C$501,"=11",'Plan rashoda za unos u SAP'!$M$3:$M$501,"=353")</f>
        <v>0</v>
      </c>
      <c r="E22" s="141">
        <f>SUMIFS('Plan rashoda za unos u SAP'!$I$3:$I$501,'Plan rashoda za unos u SAP'!$C$3:$C$501,"=12",'Plan rashoda za unos u SAP'!$M$3:$M$501,"=353")</f>
        <v>0</v>
      </c>
      <c r="F22" s="141">
        <f>SUMIFS('Plan rashoda za unos u SAP'!$I$3:$I$501,'Plan rashoda za unos u SAP'!$C$3:$C$501,"=31",'Plan rashoda za unos u SAP'!$M$3:$M$501,"=353")</f>
        <v>0</v>
      </c>
      <c r="G22" s="141">
        <f>SUMIFS('Plan rashoda za unos u SAP'!$I$3:$I$501,'Plan rashoda za unos u SAP'!$C$3:$C$501,"=41",'Plan rashoda za unos u SAP'!$M$3:$M$501,"=353")</f>
        <v>0</v>
      </c>
      <c r="H22" s="141">
        <f>SUMIFS('Plan rashoda za unos u SAP'!$I$3:$I$501,'Plan rashoda za unos u SAP'!$C$3:$C$501,"=43",'Plan rashoda za unos u SAP'!$M$3:$M$501,"=353")</f>
        <v>0</v>
      </c>
      <c r="I22" s="141">
        <f>SUMIFS('Plan rashoda za unos u SAP'!$I$3:$I$501,'Plan rashoda za unos u SAP'!$C$3:$C$501,"=51",'Plan rashoda za unos u SAP'!$M$3:$M$501,"=353")</f>
        <v>0</v>
      </c>
      <c r="J22" s="141">
        <f>SUMIFS('Plan rashoda za unos u SAP'!$I$3:$I$501,'Plan rashoda za unos u SAP'!$C$3:$C$501,"=52",'Plan rashoda za unos u SAP'!$M$3:$M$501,"=353")</f>
        <v>0</v>
      </c>
      <c r="K22" s="141">
        <f>SUMIFS('Plan rashoda za unos u SAP'!$I$3:$I$501,'Plan rashoda za unos u SAP'!$C$3:$C$501,"=552",'Plan rashoda za unos u SAP'!$M$3:$M$501,"=353")</f>
        <v>0</v>
      </c>
      <c r="L22" s="141">
        <f>SUMIFS('Plan rashoda za unos u SAP'!$I$3:$I$501,'Plan rashoda za unos u SAP'!$C$3:$C$501,"=559",'Plan rashoda za unos u SAP'!$M$3:$M$501,"=353")</f>
        <v>0</v>
      </c>
      <c r="M22" s="141">
        <f>SUMIFS('Plan rashoda za unos u SAP'!$I$3:$I$501,'Plan rashoda za unos u SAP'!$C$3:$C$501,"=561",'Plan rashoda za unos u SAP'!$M$3:$M$501,"=353")</f>
        <v>0</v>
      </c>
      <c r="N22" s="141">
        <f>SUMIFS('Plan rashoda za unos u SAP'!$I$3:$I$501,'Plan rashoda za unos u SAP'!$C$3:$C$501,"=563",'Plan rashoda za unos u SAP'!$M$3:$M$501,"=353")</f>
        <v>0</v>
      </c>
      <c r="O22" s="141">
        <f>SUMIFS('Plan rashoda za unos u SAP'!$I$3:$I$501,'Plan rashoda za unos u SAP'!$C$3:$C$501,"=573",'Plan rashoda za unos u SAP'!$M$3:$M$501,"=353")</f>
        <v>0</v>
      </c>
      <c r="P22" s="141">
        <f>SUMIFS('Plan rashoda za unos u SAP'!$I$3:$I$501,'Plan rashoda za unos u SAP'!$C$3:$C$501,"=575",'Plan rashoda za unos u SAP'!$M$3:$M$501,"=353")</f>
        <v>0</v>
      </c>
      <c r="Q22" s="141">
        <f>SUMIFS('Plan rashoda za unos u SAP'!$I$3:$I$501,'Plan rashoda za unos u SAP'!$C$3:$C$501,"=61",'Plan rashoda za unos u SAP'!$M$3:$M$501,"=353")</f>
        <v>0</v>
      </c>
      <c r="R22" s="141">
        <f>SUMIFS('Plan rashoda za unos u SAP'!$I$3:$I$501,'Plan rashoda za unos u SAP'!$C$3:$C$501,"=63",'Plan rashoda za unos u SAP'!$M$3:$M$501,"=353")</f>
        <v>0</v>
      </c>
      <c r="S22" s="141">
        <f>SUMIFS('Plan rashoda za unos u SAP'!$I$3:$I$501,'Plan rashoda za unos u SAP'!$C$3:$C$501,"=71",'Plan rashoda za unos u SAP'!$M$3:$M$501,"=353")</f>
        <v>0</v>
      </c>
      <c r="T22" s="141">
        <f>SUMIFS('Plan rashoda za unos u SAP'!$I$3:$I$501,'Plan rashoda za unos u SAP'!$C$3:$C$501,"=81",'Plan rashoda za unos u SAP'!$M$3:$M$501,"=353")</f>
        <v>0</v>
      </c>
      <c r="U22" s="141">
        <f>SUMIFS('Plan rashoda za unos u SAP'!$I$3:$I$501,'Plan rashoda za unos u SAP'!$C$3:$C$501,"=83",'Plan rashoda za unos u SAP'!$M$3:$M$501,"=353")</f>
        <v>0</v>
      </c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</row>
    <row r="23" spans="1:261" s="86" customFormat="1" ht="12.6" customHeight="1">
      <c r="A23" s="85">
        <v>36</v>
      </c>
      <c r="B23" s="19" t="s">
        <v>225</v>
      </c>
      <c r="C23" s="4">
        <f t="shared" si="4"/>
        <v>0</v>
      </c>
      <c r="D23" s="79">
        <f t="shared" ref="D23:U23" si="20">SUM(D24:D29)</f>
        <v>0</v>
      </c>
      <c r="E23" s="79">
        <f t="shared" si="20"/>
        <v>0</v>
      </c>
      <c r="F23" s="79">
        <f t="shared" si="20"/>
        <v>0</v>
      </c>
      <c r="G23" s="79">
        <f>SUM(G24:G29)</f>
        <v>0</v>
      </c>
      <c r="H23" s="79">
        <f t="shared" si="20"/>
        <v>0</v>
      </c>
      <c r="I23" s="79">
        <f t="shared" si="20"/>
        <v>0</v>
      </c>
      <c r="J23" s="79">
        <f t="shared" si="20"/>
        <v>0</v>
      </c>
      <c r="K23" s="79">
        <f>SUM(K24:K29)</f>
        <v>0</v>
      </c>
      <c r="L23" s="79">
        <f t="shared" si="20"/>
        <v>0</v>
      </c>
      <c r="M23" s="79">
        <f t="shared" si="20"/>
        <v>0</v>
      </c>
      <c r="N23" s="79">
        <f t="shared" si="20"/>
        <v>0</v>
      </c>
      <c r="O23" s="79">
        <f t="shared" ref="O23:P23" si="21">SUM(O24:O29)</f>
        <v>0</v>
      </c>
      <c r="P23" s="79">
        <f t="shared" si="21"/>
        <v>0</v>
      </c>
      <c r="Q23" s="79">
        <f t="shared" si="20"/>
        <v>0</v>
      </c>
      <c r="R23" s="79">
        <f t="shared" si="20"/>
        <v>0</v>
      </c>
      <c r="S23" s="79">
        <f t="shared" si="20"/>
        <v>0</v>
      </c>
      <c r="T23" s="79">
        <f t="shared" si="20"/>
        <v>0</v>
      </c>
      <c r="U23" s="79">
        <f t="shared" si="20"/>
        <v>0</v>
      </c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</row>
    <row r="24" spans="1:261" s="75" customFormat="1" ht="12.6" customHeight="1">
      <c r="A24" s="84">
        <v>361</v>
      </c>
      <c r="B24" s="20" t="s">
        <v>353</v>
      </c>
      <c r="C24" s="15">
        <f>SUM(D24:U24)</f>
        <v>0</v>
      </c>
      <c r="D24" s="141">
        <f>SUMIFS('Plan rashoda za unos u SAP'!$I$3:$I$501,'Plan rashoda za unos u SAP'!$C$3:$C$501,"=11",'Plan rashoda za unos u SAP'!$M$3:$M$501,"=361")</f>
        <v>0</v>
      </c>
      <c r="E24" s="141">
        <f>SUMIFS('Plan rashoda za unos u SAP'!$I$3:$I$501,'Plan rashoda za unos u SAP'!$C$3:$C$501,"=12",'Plan rashoda za unos u SAP'!$M$3:$M$501,"=361")</f>
        <v>0</v>
      </c>
      <c r="F24" s="141">
        <f>SUMIFS('Plan rashoda za unos u SAP'!$I$3:$I$501,'Plan rashoda za unos u SAP'!$C$3:$C$501,"=31",'Plan rashoda za unos u SAP'!$M$3:$M$501,"=361")</f>
        <v>0</v>
      </c>
      <c r="G24" s="141">
        <f>SUMIFS('Plan rashoda za unos u SAP'!$I$3:$I$501,'Plan rashoda za unos u SAP'!$C$3:$C$501,"=41",'Plan rashoda za unos u SAP'!$M$3:$M$501,"=361")</f>
        <v>0</v>
      </c>
      <c r="H24" s="141">
        <f>SUMIFS('Plan rashoda za unos u SAP'!$I$3:$I$501,'Plan rashoda za unos u SAP'!$C$3:$C$501,"=43",'Plan rashoda za unos u SAP'!$M$3:$M$501,"=361")</f>
        <v>0</v>
      </c>
      <c r="I24" s="141">
        <f>SUMIFS('Plan rashoda za unos u SAP'!$I$3:$I$501,'Plan rashoda za unos u SAP'!$C$3:$C$501,"=51",'Plan rashoda za unos u SAP'!$M$3:$M$501,"=361")</f>
        <v>0</v>
      </c>
      <c r="J24" s="141">
        <f>SUMIFS('Plan rashoda za unos u SAP'!$I$3:$I$501,'Plan rashoda za unos u SAP'!$C$3:$C$501,"=52",'Plan rashoda za unos u SAP'!$M$3:$M$501,"=361")</f>
        <v>0</v>
      </c>
      <c r="K24" s="141">
        <f>SUMIFS('Plan rashoda za unos u SAP'!$I$3:$I$501,'Plan rashoda za unos u SAP'!$C$3:$C$501,"=552",'Plan rashoda za unos u SAP'!$M$3:$M$501,"=361")</f>
        <v>0</v>
      </c>
      <c r="L24" s="141">
        <f>SUMIFS('Plan rashoda za unos u SAP'!$I$3:$I$501,'Plan rashoda za unos u SAP'!$C$3:$C$501,"=559",'Plan rashoda za unos u SAP'!$M$3:$M$501,"=361")</f>
        <v>0</v>
      </c>
      <c r="M24" s="141">
        <f>SUMIFS('Plan rashoda za unos u SAP'!$I$3:$I$501,'Plan rashoda za unos u SAP'!$C$3:$C$501,"=561",'Plan rashoda za unos u SAP'!$M$3:$M$501,"=361")</f>
        <v>0</v>
      </c>
      <c r="N24" s="141">
        <f>SUMIFS('Plan rashoda za unos u SAP'!$I$3:$I$501,'Plan rashoda za unos u SAP'!$C$3:$C$501,"=563",'Plan rashoda za unos u SAP'!$M$3:$M$501,"=361")</f>
        <v>0</v>
      </c>
      <c r="O24" s="141">
        <f>SUMIFS('Plan rashoda za unos u SAP'!$I$3:$I$501,'Plan rashoda za unos u SAP'!$C$3:$C$501,"=573",'Plan rashoda za unos u SAP'!$M$3:$M$501,"=361")</f>
        <v>0</v>
      </c>
      <c r="P24" s="141">
        <f>SUMIFS('Plan rashoda za unos u SAP'!$I$3:$I$501,'Plan rashoda za unos u SAP'!$C$3:$C$501,"=575",'Plan rashoda za unos u SAP'!$M$3:$M$501,"=361")</f>
        <v>0</v>
      </c>
      <c r="Q24" s="141">
        <f>SUMIFS('Plan rashoda za unos u SAP'!$I$3:$I$501,'Plan rashoda za unos u SAP'!$C$3:$C$501,"=61",'Plan rashoda za unos u SAP'!$M$3:$M$501,"=361")</f>
        <v>0</v>
      </c>
      <c r="R24" s="141">
        <f>SUMIFS('Plan rashoda za unos u SAP'!$I$3:$I$501,'Plan rashoda za unos u SAP'!$C$3:$C$501,"=63",'Plan rashoda za unos u SAP'!$M$3:$M$501,"=361")</f>
        <v>0</v>
      </c>
      <c r="S24" s="141">
        <f>SUMIFS('Plan rashoda za unos u SAP'!$I$3:$I$501,'Plan rashoda za unos u SAP'!$C$3:$C$501,"=71",'Plan rashoda za unos u SAP'!$M$3:$M$501,"=361")</f>
        <v>0</v>
      </c>
      <c r="T24" s="141">
        <f>SUMIFS('Plan rashoda za unos u SAP'!$I$3:$I$501,'Plan rashoda za unos u SAP'!$C$3:$C$501,"=81",'Plan rashoda za unos u SAP'!$M$3:$M$501,"=361")</f>
        <v>0</v>
      </c>
      <c r="U24" s="141">
        <f>SUMIFS('Plan rashoda za unos u SAP'!$I$3:$I$501,'Plan rashoda za unos u SAP'!$C$3:$C$501,"=83",'Plan rashoda za unos u SAP'!$M$3:$M$501,"=361")</f>
        <v>0</v>
      </c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  <c r="IW24" s="74"/>
      <c r="IX24" s="74"/>
      <c r="IY24" s="74"/>
      <c r="IZ24" s="74"/>
      <c r="JA24" s="74"/>
    </row>
    <row r="25" spans="1:261" s="5" customFormat="1" ht="12.6" customHeight="1">
      <c r="A25" s="83">
        <v>362</v>
      </c>
      <c r="B25" s="9" t="s">
        <v>354</v>
      </c>
      <c r="C25" s="15">
        <f t="shared" si="4"/>
        <v>0</v>
      </c>
      <c r="D25" s="141">
        <f>SUMIFS('Plan rashoda za unos u SAP'!$I$3:$I$501,'Plan rashoda za unos u SAP'!$C$3:$C$501,"=11",'Plan rashoda za unos u SAP'!$M$3:$M$501,"=362")</f>
        <v>0</v>
      </c>
      <c r="E25" s="141">
        <f>SUMIFS('Plan rashoda za unos u SAP'!$I$3:$I$501,'Plan rashoda za unos u SAP'!$C$3:$C$501,"=12",'Plan rashoda za unos u SAP'!$M$3:$M$501,"=362")</f>
        <v>0</v>
      </c>
      <c r="F25" s="141">
        <f>SUMIFS('Plan rashoda za unos u SAP'!$I$3:$I$501,'Plan rashoda za unos u SAP'!$C$3:$C$501,"=31",'Plan rashoda za unos u SAP'!$M$3:$M$501,"=362")</f>
        <v>0</v>
      </c>
      <c r="G25" s="141">
        <f>SUMIFS('Plan rashoda za unos u SAP'!$I$3:$I$501,'Plan rashoda za unos u SAP'!$C$3:$C$501,"=41",'Plan rashoda za unos u SAP'!$M$3:$M$501,"=362")</f>
        <v>0</v>
      </c>
      <c r="H25" s="141">
        <f>SUMIFS('Plan rashoda za unos u SAP'!$I$3:$I$501,'Plan rashoda za unos u SAP'!$C$3:$C$501,"=43",'Plan rashoda za unos u SAP'!$M$3:$M$501,"=362")</f>
        <v>0</v>
      </c>
      <c r="I25" s="141">
        <f>SUMIFS('Plan rashoda za unos u SAP'!$I$3:$I$501,'Plan rashoda za unos u SAP'!$C$3:$C$501,"=51",'Plan rashoda za unos u SAP'!$M$3:$M$501,"=362")</f>
        <v>0</v>
      </c>
      <c r="J25" s="141">
        <f>SUMIFS('Plan rashoda za unos u SAP'!$I$3:$I$501,'Plan rashoda za unos u SAP'!$C$3:$C$501,"=52",'Plan rashoda za unos u SAP'!$M$3:$M$501,"=362")</f>
        <v>0</v>
      </c>
      <c r="K25" s="141">
        <f>SUMIFS('Plan rashoda za unos u SAP'!$I$3:$I$501,'Plan rashoda za unos u SAP'!$C$3:$C$501,"=552",'Plan rashoda za unos u SAP'!$M$3:$M$501,"=362")</f>
        <v>0</v>
      </c>
      <c r="L25" s="141">
        <f>SUMIFS('Plan rashoda za unos u SAP'!$I$3:$I$501,'Plan rashoda za unos u SAP'!$C$3:$C$501,"=559",'Plan rashoda za unos u SAP'!$M$3:$M$501,"=362")</f>
        <v>0</v>
      </c>
      <c r="M25" s="141">
        <f>SUMIFS('Plan rashoda za unos u SAP'!$I$3:$I$501,'Plan rashoda za unos u SAP'!$C$3:$C$501,"=561",'Plan rashoda za unos u SAP'!$M$3:$M$501,"=362")</f>
        <v>0</v>
      </c>
      <c r="N25" s="141">
        <f>SUMIFS('Plan rashoda za unos u SAP'!$I$3:$I$501,'Plan rashoda za unos u SAP'!$C$3:$C$501,"=563",'Plan rashoda za unos u SAP'!$M$3:$M$501,"=362")</f>
        <v>0</v>
      </c>
      <c r="O25" s="141">
        <f>SUMIFS('Plan rashoda za unos u SAP'!$I$3:$I$501,'Plan rashoda za unos u SAP'!$C$3:$C$501,"=573",'Plan rashoda za unos u SAP'!$M$3:$M$501,"=362")</f>
        <v>0</v>
      </c>
      <c r="P25" s="141">
        <f>SUMIFS('Plan rashoda za unos u SAP'!$I$3:$I$501,'Plan rashoda za unos u SAP'!$C$3:$C$501,"=575",'Plan rashoda za unos u SAP'!$M$3:$M$501,"=362")</f>
        <v>0</v>
      </c>
      <c r="Q25" s="141">
        <f>SUMIFS('Plan rashoda za unos u SAP'!$I$3:$I$501,'Plan rashoda za unos u SAP'!$C$3:$C$501,"=61",'Plan rashoda za unos u SAP'!$M$3:$M$501,"=362")</f>
        <v>0</v>
      </c>
      <c r="R25" s="141">
        <f>SUMIFS('Plan rashoda za unos u SAP'!$I$3:$I$501,'Plan rashoda za unos u SAP'!$C$3:$C$501,"=63",'Plan rashoda za unos u SAP'!$M$3:$M$501,"=362")</f>
        <v>0</v>
      </c>
      <c r="S25" s="141">
        <f>SUMIFS('Plan rashoda za unos u SAP'!$I$3:$I$501,'Plan rashoda za unos u SAP'!$C$3:$C$501,"=71",'Plan rashoda za unos u SAP'!$M$3:$M$501,"=362")</f>
        <v>0</v>
      </c>
      <c r="T25" s="141">
        <f>SUMIFS('Plan rashoda za unos u SAP'!$I$3:$I$501,'Plan rashoda za unos u SAP'!$C$3:$C$501,"=81",'Plan rashoda za unos u SAP'!$M$3:$M$501,"=362")</f>
        <v>0</v>
      </c>
      <c r="U25" s="141">
        <f>SUMIFS('Plan rashoda za unos u SAP'!$I$3:$I$501,'Plan rashoda za unos u SAP'!$C$3:$C$501,"=83",'Plan rashoda za unos u SAP'!$M$3:$M$501,"=362")</f>
        <v>0</v>
      </c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</row>
    <row r="26" spans="1:261" s="5" customFormat="1" ht="12.6" customHeight="1">
      <c r="A26" s="83">
        <v>363</v>
      </c>
      <c r="B26" s="9" t="s">
        <v>355</v>
      </c>
      <c r="C26" s="15">
        <f t="shared" si="4"/>
        <v>0</v>
      </c>
      <c r="D26" s="141">
        <f>SUMIFS('Plan rashoda za unos u SAP'!$I$3:$I$501,'Plan rashoda za unos u SAP'!$C$3:$C$501,"=11",'Plan rashoda za unos u SAP'!$M$3:$M$501,"=363")</f>
        <v>0</v>
      </c>
      <c r="E26" s="141">
        <f>SUMIFS('Plan rashoda za unos u SAP'!$I$3:$I$501,'Plan rashoda za unos u SAP'!$C$3:$C$501,"=12",'Plan rashoda za unos u SAP'!$M$3:$M$501,"=363")</f>
        <v>0</v>
      </c>
      <c r="F26" s="141">
        <f>SUMIFS('Plan rashoda za unos u SAP'!$I$3:$I$501,'Plan rashoda za unos u SAP'!$C$3:$C$501,"=31",'Plan rashoda za unos u SAP'!$M$3:$M$501,"=363")</f>
        <v>0</v>
      </c>
      <c r="G26" s="141">
        <f>SUMIFS('Plan rashoda za unos u SAP'!$I$3:$I$501,'Plan rashoda za unos u SAP'!$C$3:$C$501,"=41",'Plan rashoda za unos u SAP'!$M$3:$M$501,"=363")</f>
        <v>0</v>
      </c>
      <c r="H26" s="141">
        <f>SUMIFS('Plan rashoda za unos u SAP'!$I$3:$I$501,'Plan rashoda za unos u SAP'!$C$3:$C$501,"=43",'Plan rashoda za unos u SAP'!$M$3:$M$501,"=363")</f>
        <v>0</v>
      </c>
      <c r="I26" s="141">
        <f>SUMIFS('Plan rashoda za unos u SAP'!$I$3:$I$501,'Plan rashoda za unos u SAP'!$C$3:$C$501,"=51",'Plan rashoda za unos u SAP'!$M$3:$M$501,"=363")</f>
        <v>0</v>
      </c>
      <c r="J26" s="141">
        <f>SUMIFS('Plan rashoda za unos u SAP'!$I$3:$I$501,'Plan rashoda za unos u SAP'!$C$3:$C$501,"=52",'Plan rashoda za unos u SAP'!$M$3:$M$501,"=363")</f>
        <v>0</v>
      </c>
      <c r="K26" s="141">
        <f>SUMIFS('Plan rashoda za unos u SAP'!$I$3:$I$501,'Plan rashoda za unos u SAP'!$C$3:$C$501,"=552",'Plan rashoda za unos u SAP'!$M$3:$M$501,"=363")</f>
        <v>0</v>
      </c>
      <c r="L26" s="141">
        <f>SUMIFS('Plan rashoda za unos u SAP'!$I$3:$I$501,'Plan rashoda za unos u SAP'!$C$3:$C$501,"=559",'Plan rashoda za unos u SAP'!$M$3:$M$501,"=363")</f>
        <v>0</v>
      </c>
      <c r="M26" s="141">
        <f>SUMIFS('Plan rashoda za unos u SAP'!$I$3:$I$501,'Plan rashoda za unos u SAP'!$C$3:$C$501,"=561",'Plan rashoda za unos u SAP'!$M$3:$M$501,"=363")</f>
        <v>0</v>
      </c>
      <c r="N26" s="141">
        <f>SUMIFS('Plan rashoda za unos u SAP'!$I$3:$I$501,'Plan rashoda za unos u SAP'!$C$3:$C$501,"=563",'Plan rashoda za unos u SAP'!$M$3:$M$501,"=363")</f>
        <v>0</v>
      </c>
      <c r="O26" s="141">
        <f>SUMIFS('Plan rashoda za unos u SAP'!$I$3:$I$501,'Plan rashoda za unos u SAP'!$C$3:$C$501,"=573",'Plan rashoda za unos u SAP'!$M$3:$M$501,"=363")</f>
        <v>0</v>
      </c>
      <c r="P26" s="141">
        <f>SUMIFS('Plan rashoda za unos u SAP'!$I$3:$I$501,'Plan rashoda za unos u SAP'!$C$3:$C$501,"=575",'Plan rashoda za unos u SAP'!$M$3:$M$501,"=363")</f>
        <v>0</v>
      </c>
      <c r="Q26" s="141">
        <f>SUMIFS('Plan rashoda za unos u SAP'!$I$3:$I$501,'Plan rashoda za unos u SAP'!$C$3:$C$501,"=61",'Plan rashoda za unos u SAP'!$M$3:$M$501,"=363")</f>
        <v>0</v>
      </c>
      <c r="R26" s="141">
        <f>SUMIFS('Plan rashoda za unos u SAP'!$I$3:$I$501,'Plan rashoda za unos u SAP'!$C$3:$C$501,"=63",'Plan rashoda za unos u SAP'!$M$3:$M$501,"=363")</f>
        <v>0</v>
      </c>
      <c r="S26" s="141">
        <f>SUMIFS('Plan rashoda za unos u SAP'!$I$3:$I$501,'Plan rashoda za unos u SAP'!$C$3:$C$501,"=71",'Plan rashoda za unos u SAP'!$M$3:$M$501,"=363")</f>
        <v>0</v>
      </c>
      <c r="T26" s="141">
        <f>SUMIFS('Plan rashoda za unos u SAP'!$I$3:$I$501,'Plan rashoda za unos u SAP'!$C$3:$C$501,"=81",'Plan rashoda za unos u SAP'!$M$3:$M$501,"=363")</f>
        <v>0</v>
      </c>
      <c r="U26" s="141">
        <f>SUMIFS('Plan rashoda za unos u SAP'!$I$3:$I$501,'Plan rashoda za unos u SAP'!$C$3:$C$501,"=83",'Plan rashoda za unos u SAP'!$M$3:$M$501,"=363")</f>
        <v>0</v>
      </c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  <c r="IW26" s="74"/>
      <c r="IX26" s="74"/>
      <c r="IY26" s="74"/>
      <c r="IZ26" s="74"/>
      <c r="JA26" s="74"/>
    </row>
    <row r="27" spans="1:261" s="5" customFormat="1" ht="12.6" customHeight="1">
      <c r="A27" s="83">
        <v>366</v>
      </c>
      <c r="B27" s="9" t="s">
        <v>356</v>
      </c>
      <c r="C27" s="15">
        <f t="shared" si="4"/>
        <v>0</v>
      </c>
      <c r="D27" s="141">
        <f>SUMIFS('Plan rashoda za unos u SAP'!$I$3:$I$501,'Plan rashoda za unos u SAP'!$C$3:$C$501,"=11",'Plan rashoda za unos u SAP'!$M$3:$M$501,"=366")</f>
        <v>0</v>
      </c>
      <c r="E27" s="141">
        <f>SUMIFS('Plan rashoda za unos u SAP'!$I$3:$I$501,'Plan rashoda za unos u SAP'!$C$3:$C$501,"=12",'Plan rashoda za unos u SAP'!$M$3:$M$501,"=366")</f>
        <v>0</v>
      </c>
      <c r="F27" s="141">
        <f>SUMIFS('Plan rashoda za unos u SAP'!$I$3:$I$501,'Plan rashoda za unos u SAP'!$C$3:$C$501,"=31",'Plan rashoda za unos u SAP'!$M$3:$M$501,"=366")</f>
        <v>0</v>
      </c>
      <c r="G27" s="141">
        <f>SUMIFS('Plan rashoda za unos u SAP'!$I$3:$I$501,'Plan rashoda za unos u SAP'!$C$3:$C$501,"=41",'Plan rashoda za unos u SAP'!$M$3:$M$501,"=366")</f>
        <v>0</v>
      </c>
      <c r="H27" s="141">
        <f>SUMIFS('Plan rashoda za unos u SAP'!$I$3:$I$501,'Plan rashoda za unos u SAP'!$C$3:$C$501,"=43",'Plan rashoda za unos u SAP'!$M$3:$M$501,"=366")</f>
        <v>0</v>
      </c>
      <c r="I27" s="141">
        <f>SUMIFS('Plan rashoda za unos u SAP'!$I$3:$I$501,'Plan rashoda za unos u SAP'!$C$3:$C$501,"=51",'Plan rashoda za unos u SAP'!$M$3:$M$501,"=366")</f>
        <v>0</v>
      </c>
      <c r="J27" s="141">
        <f>SUMIFS('Plan rashoda za unos u SAP'!$I$3:$I$501,'Plan rashoda za unos u SAP'!$C$3:$C$501,"=52",'Plan rashoda za unos u SAP'!$M$3:$M$501,"=366")</f>
        <v>0</v>
      </c>
      <c r="K27" s="141">
        <f>SUMIFS('Plan rashoda za unos u SAP'!$I$3:$I$501,'Plan rashoda za unos u SAP'!$C$3:$C$501,"=552",'Plan rashoda za unos u SAP'!$M$3:$M$501,"=366")</f>
        <v>0</v>
      </c>
      <c r="L27" s="141">
        <f>SUMIFS('Plan rashoda za unos u SAP'!$I$3:$I$501,'Plan rashoda za unos u SAP'!$C$3:$C$501,"=559",'Plan rashoda za unos u SAP'!$M$3:$M$501,"=366")</f>
        <v>0</v>
      </c>
      <c r="M27" s="141">
        <f>SUMIFS('Plan rashoda za unos u SAP'!$I$3:$I$501,'Plan rashoda za unos u SAP'!$C$3:$C$501,"=561",'Plan rashoda za unos u SAP'!$M$3:$M$501,"=366")</f>
        <v>0</v>
      </c>
      <c r="N27" s="141">
        <f>SUMIFS('Plan rashoda za unos u SAP'!$I$3:$I$501,'Plan rashoda za unos u SAP'!$C$3:$C$501,"=563",'Plan rashoda za unos u SAP'!$M$3:$M$501,"=366")</f>
        <v>0</v>
      </c>
      <c r="O27" s="141">
        <f>SUMIFS('Plan rashoda za unos u SAP'!$I$3:$I$501,'Plan rashoda za unos u SAP'!$C$3:$C$501,"=573",'Plan rashoda za unos u SAP'!$M$3:$M$501,"=366")</f>
        <v>0</v>
      </c>
      <c r="P27" s="141">
        <f>SUMIFS('Plan rashoda za unos u SAP'!$I$3:$I$501,'Plan rashoda za unos u SAP'!$C$3:$C$501,"=575",'Plan rashoda za unos u SAP'!$M$3:$M$501,"=366")</f>
        <v>0</v>
      </c>
      <c r="Q27" s="141">
        <f>SUMIFS('Plan rashoda za unos u SAP'!$I$3:$I$501,'Plan rashoda za unos u SAP'!$C$3:$C$501,"=61",'Plan rashoda za unos u SAP'!$M$3:$M$501,"=366")</f>
        <v>0</v>
      </c>
      <c r="R27" s="141">
        <f>SUMIFS('Plan rashoda za unos u SAP'!$I$3:$I$501,'Plan rashoda za unos u SAP'!$C$3:$C$501,"=63",'Plan rashoda za unos u SAP'!$M$3:$M$501,"=366")</f>
        <v>0</v>
      </c>
      <c r="S27" s="141">
        <f>SUMIFS('Plan rashoda za unos u SAP'!$I$3:$I$501,'Plan rashoda za unos u SAP'!$C$3:$C$501,"=71",'Plan rashoda za unos u SAP'!$M$3:$M$501,"=366")</f>
        <v>0</v>
      </c>
      <c r="T27" s="141">
        <f>SUMIFS('Plan rashoda za unos u SAP'!$I$3:$I$501,'Plan rashoda za unos u SAP'!$C$3:$C$501,"=81",'Plan rashoda za unos u SAP'!$M$3:$M$501,"=366")</f>
        <v>0</v>
      </c>
      <c r="U27" s="141">
        <f>SUMIFS('Plan rashoda za unos u SAP'!$I$3:$I$501,'Plan rashoda za unos u SAP'!$C$3:$C$501,"=83",'Plan rashoda za unos u SAP'!$M$3:$M$501,"=366")</f>
        <v>0</v>
      </c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</row>
    <row r="28" spans="1:261" s="5" customFormat="1" ht="12.6" customHeight="1">
      <c r="A28" s="83">
        <v>368</v>
      </c>
      <c r="B28" s="9" t="s">
        <v>310</v>
      </c>
      <c r="C28" s="15">
        <f t="shared" si="4"/>
        <v>0</v>
      </c>
      <c r="D28" s="141">
        <f>SUMIFS('Plan rashoda za unos u SAP'!$I$3:$I$501,'Plan rashoda za unos u SAP'!$C$3:$C$501,"=11",'Plan rashoda za unos u SAP'!$M$3:$M$501,"=368")</f>
        <v>0</v>
      </c>
      <c r="E28" s="141">
        <f>SUMIFS('Plan rashoda za unos u SAP'!$I$3:$I$501,'Plan rashoda za unos u SAP'!$C$3:$C$501,"=12",'Plan rashoda za unos u SAP'!$M$3:$M$501,"=368")</f>
        <v>0</v>
      </c>
      <c r="F28" s="141">
        <f>SUMIFS('Plan rashoda za unos u SAP'!$I$3:$I$501,'Plan rashoda za unos u SAP'!$C$3:$C$501,"=31",'Plan rashoda za unos u SAP'!$M$3:$M$501,"=368")</f>
        <v>0</v>
      </c>
      <c r="G28" s="141">
        <f>SUMIFS('Plan rashoda za unos u SAP'!$I$3:$I$501,'Plan rashoda za unos u SAP'!$C$3:$C$501,"=41",'Plan rashoda za unos u SAP'!$M$3:$M$501,"=368")</f>
        <v>0</v>
      </c>
      <c r="H28" s="141">
        <f>SUMIFS('Plan rashoda za unos u SAP'!$I$3:$I$501,'Plan rashoda za unos u SAP'!$C$3:$C$501,"=43",'Plan rashoda za unos u SAP'!$M$3:$M$501,"=368")</f>
        <v>0</v>
      </c>
      <c r="I28" s="141">
        <f>SUMIFS('Plan rashoda za unos u SAP'!$I$3:$I$501,'Plan rashoda za unos u SAP'!$C$3:$C$501,"=51",'Plan rashoda za unos u SAP'!$M$3:$M$501,"=368")</f>
        <v>0</v>
      </c>
      <c r="J28" s="141">
        <f>SUMIFS('Plan rashoda za unos u SAP'!$I$3:$I$501,'Plan rashoda za unos u SAP'!$C$3:$C$501,"=52",'Plan rashoda za unos u SAP'!$M$3:$M$501,"=368")</f>
        <v>0</v>
      </c>
      <c r="K28" s="141">
        <f>SUMIFS('Plan rashoda za unos u SAP'!$I$3:$I$501,'Plan rashoda za unos u SAP'!$C$3:$C$501,"=552",'Plan rashoda za unos u SAP'!$M$3:$M$501,"=368")</f>
        <v>0</v>
      </c>
      <c r="L28" s="141">
        <f>SUMIFS('Plan rashoda za unos u SAP'!$I$3:$I$501,'Plan rashoda za unos u SAP'!$C$3:$C$501,"=559",'Plan rashoda za unos u SAP'!$M$3:$M$501,"=368")</f>
        <v>0</v>
      </c>
      <c r="M28" s="141">
        <f>SUMIFS('Plan rashoda za unos u SAP'!$I$3:$I$501,'Plan rashoda za unos u SAP'!$C$3:$C$501,"=561",'Plan rashoda za unos u SAP'!$M$3:$M$501,"=368")</f>
        <v>0</v>
      </c>
      <c r="N28" s="141">
        <f>SUMIFS('Plan rashoda za unos u SAP'!$I$3:$I$501,'Plan rashoda za unos u SAP'!$C$3:$C$501,"=563",'Plan rashoda za unos u SAP'!$M$3:$M$501,"=368")</f>
        <v>0</v>
      </c>
      <c r="O28" s="141">
        <f>SUMIFS('Plan rashoda za unos u SAP'!$I$3:$I$501,'Plan rashoda za unos u SAP'!$C$3:$C$501,"=573",'Plan rashoda za unos u SAP'!$M$3:$M$501,"=368")</f>
        <v>0</v>
      </c>
      <c r="P28" s="141">
        <f>SUMIFS('Plan rashoda za unos u SAP'!$I$3:$I$501,'Plan rashoda za unos u SAP'!$C$3:$C$501,"=575",'Plan rashoda za unos u SAP'!$M$3:$M$501,"=368")</f>
        <v>0</v>
      </c>
      <c r="Q28" s="141">
        <f>SUMIFS('Plan rashoda za unos u SAP'!$I$3:$I$501,'Plan rashoda za unos u SAP'!$C$3:$C$501,"=61",'Plan rashoda za unos u SAP'!$M$3:$M$501,"=368")</f>
        <v>0</v>
      </c>
      <c r="R28" s="141">
        <f>SUMIFS('Plan rashoda za unos u SAP'!$I$3:$I$501,'Plan rashoda za unos u SAP'!$C$3:$C$501,"=63",'Plan rashoda za unos u SAP'!$M$3:$M$501,"=368")</f>
        <v>0</v>
      </c>
      <c r="S28" s="141">
        <f>SUMIFS('Plan rashoda za unos u SAP'!$I$3:$I$501,'Plan rashoda za unos u SAP'!$C$3:$C$501,"=71",'Plan rashoda za unos u SAP'!$M$3:$M$501,"=368")</f>
        <v>0</v>
      </c>
      <c r="T28" s="141">
        <f>SUMIFS('Plan rashoda za unos u SAP'!$I$3:$I$501,'Plan rashoda za unos u SAP'!$C$3:$C$501,"=81",'Plan rashoda za unos u SAP'!$M$3:$M$501,"=368")</f>
        <v>0</v>
      </c>
      <c r="U28" s="141">
        <f>SUMIFS('Plan rashoda za unos u SAP'!$I$3:$I$501,'Plan rashoda za unos u SAP'!$C$3:$C$501,"=83",'Plan rashoda za unos u SAP'!$M$3:$M$501,"=368")</f>
        <v>0</v>
      </c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</row>
    <row r="29" spans="1:261" s="5" customFormat="1" ht="12.6" customHeight="1">
      <c r="A29" s="84">
        <v>369</v>
      </c>
      <c r="B29" s="9" t="s">
        <v>53</v>
      </c>
      <c r="C29" s="15">
        <f t="shared" si="4"/>
        <v>0</v>
      </c>
      <c r="D29" s="141">
        <f>SUMIFS('Plan rashoda za unos u SAP'!$I$3:$I$501,'Plan rashoda za unos u SAP'!$C$3:$C$501,"=11",'Plan rashoda za unos u SAP'!$M$3:$M$501,"=369")</f>
        <v>0</v>
      </c>
      <c r="E29" s="141">
        <f>SUMIFS('Plan rashoda za unos u SAP'!$I$3:$I$501,'Plan rashoda za unos u SAP'!$C$3:$C$501,"=12",'Plan rashoda za unos u SAP'!$M$3:$M$501,"=369")</f>
        <v>0</v>
      </c>
      <c r="F29" s="141">
        <f>SUMIFS('Plan rashoda za unos u SAP'!$I$3:$I$501,'Plan rashoda za unos u SAP'!$C$3:$C$501,"=31",'Plan rashoda za unos u SAP'!$M$3:$M$501,"=369")</f>
        <v>0</v>
      </c>
      <c r="G29" s="141">
        <f>SUMIFS('Plan rashoda za unos u SAP'!$I$3:$I$501,'Plan rashoda za unos u SAP'!$C$3:$C$501,"=41",'Plan rashoda za unos u SAP'!$M$3:$M$501,"=369")</f>
        <v>0</v>
      </c>
      <c r="H29" s="141">
        <f>SUMIFS('Plan rashoda za unos u SAP'!$I$3:$I$501,'Plan rashoda za unos u SAP'!$C$3:$C$501,"=43",'Plan rashoda za unos u SAP'!$M$3:$M$501,"=369")</f>
        <v>0</v>
      </c>
      <c r="I29" s="141">
        <f>SUMIFS('Plan rashoda za unos u SAP'!$I$3:$I$501,'Plan rashoda za unos u SAP'!$C$3:$C$501,"=51",'Plan rashoda za unos u SAP'!$M$3:$M$501,"=369")</f>
        <v>0</v>
      </c>
      <c r="J29" s="141">
        <f>SUMIFS('Plan rashoda za unos u SAP'!$I$3:$I$501,'Plan rashoda za unos u SAP'!$C$3:$C$501,"=52",'Plan rashoda za unos u SAP'!$M$3:$M$501,"=369")</f>
        <v>0</v>
      </c>
      <c r="K29" s="141">
        <f>SUMIFS('Plan rashoda za unos u SAP'!$I$3:$I$501,'Plan rashoda za unos u SAP'!$C$3:$C$501,"=552",'Plan rashoda za unos u SAP'!$M$3:$M$501,"=369")</f>
        <v>0</v>
      </c>
      <c r="L29" s="141">
        <f>SUMIFS('Plan rashoda za unos u SAP'!$I$3:$I$501,'Plan rashoda za unos u SAP'!$C$3:$C$501,"=559",'Plan rashoda za unos u SAP'!$M$3:$M$501,"=369")</f>
        <v>0</v>
      </c>
      <c r="M29" s="141">
        <f>SUMIFS('Plan rashoda za unos u SAP'!$I$3:$I$501,'Plan rashoda za unos u SAP'!$C$3:$C$501,"=561",'Plan rashoda za unos u SAP'!$M$3:$M$501,"=369")</f>
        <v>0</v>
      </c>
      <c r="N29" s="141">
        <f>SUMIFS('Plan rashoda za unos u SAP'!$I$3:$I$501,'Plan rashoda za unos u SAP'!$C$3:$C$501,"=563",'Plan rashoda za unos u SAP'!$M$3:$M$501,"=369")</f>
        <v>0</v>
      </c>
      <c r="O29" s="141">
        <f>SUMIFS('Plan rashoda za unos u SAP'!$I$3:$I$501,'Plan rashoda za unos u SAP'!$C$3:$C$501,"=573",'Plan rashoda za unos u SAP'!$M$3:$M$501,"=369")</f>
        <v>0</v>
      </c>
      <c r="P29" s="141">
        <f>SUMIFS('Plan rashoda za unos u SAP'!$I$3:$I$501,'Plan rashoda za unos u SAP'!$C$3:$C$501,"=575",'Plan rashoda za unos u SAP'!$M$3:$M$501,"=369")</f>
        <v>0</v>
      </c>
      <c r="Q29" s="141">
        <f>SUMIFS('Plan rashoda za unos u SAP'!$I$3:$I$501,'Plan rashoda za unos u SAP'!$C$3:$C$501,"=61",'Plan rashoda za unos u SAP'!$M$3:$M$501,"=369")</f>
        <v>0</v>
      </c>
      <c r="R29" s="141">
        <f>SUMIFS('Plan rashoda za unos u SAP'!$I$3:$I$501,'Plan rashoda za unos u SAP'!$C$3:$C$501,"=63",'Plan rashoda za unos u SAP'!$M$3:$M$501,"=369")</f>
        <v>0</v>
      </c>
      <c r="S29" s="141">
        <f>SUMIFS('Plan rashoda za unos u SAP'!$I$3:$I$501,'Plan rashoda za unos u SAP'!$C$3:$C$501,"=71",'Plan rashoda za unos u SAP'!$M$3:$M$501,"=369")</f>
        <v>0</v>
      </c>
      <c r="T29" s="141">
        <f>SUMIFS('Plan rashoda za unos u SAP'!$I$3:$I$501,'Plan rashoda za unos u SAP'!$C$3:$C$501,"=81",'Plan rashoda za unos u SAP'!$M$3:$M$501,"=369")</f>
        <v>0</v>
      </c>
      <c r="U29" s="141">
        <f>SUMIFS('Plan rashoda za unos u SAP'!$I$3:$I$501,'Plan rashoda za unos u SAP'!$C$3:$C$501,"=83",'Plan rashoda za unos u SAP'!$M$3:$M$501,"=369")</f>
        <v>0</v>
      </c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  <c r="IW29" s="74"/>
      <c r="IX29" s="74"/>
      <c r="IY29" s="74"/>
      <c r="IZ29" s="74"/>
      <c r="JA29" s="74"/>
    </row>
    <row r="30" spans="1:261" s="21" customFormat="1" ht="12.6" customHeight="1">
      <c r="A30" s="85">
        <v>37</v>
      </c>
      <c r="B30" s="16" t="s">
        <v>357</v>
      </c>
      <c r="C30" s="4">
        <f t="shared" si="4"/>
        <v>102000</v>
      </c>
      <c r="D30" s="4">
        <f t="shared" ref="D30:U30" si="22">SUM(D31:D32)</f>
        <v>82000</v>
      </c>
      <c r="E30" s="4">
        <f t="shared" si="22"/>
        <v>0</v>
      </c>
      <c r="F30" s="4">
        <f t="shared" si="22"/>
        <v>0</v>
      </c>
      <c r="G30" s="4">
        <f t="shared" ref="G30" si="23">SUM(G31:G32)</f>
        <v>0</v>
      </c>
      <c r="H30" s="4">
        <f t="shared" si="22"/>
        <v>20000</v>
      </c>
      <c r="I30" s="4">
        <f t="shared" si="22"/>
        <v>0</v>
      </c>
      <c r="J30" s="4">
        <f t="shared" si="22"/>
        <v>0</v>
      </c>
      <c r="K30" s="4">
        <f t="shared" ref="K30" si="24">SUM(K31:K32)</f>
        <v>0</v>
      </c>
      <c r="L30" s="4">
        <f t="shared" si="22"/>
        <v>0</v>
      </c>
      <c r="M30" s="4">
        <f t="shared" si="22"/>
        <v>0</v>
      </c>
      <c r="N30" s="4">
        <f t="shared" si="22"/>
        <v>0</v>
      </c>
      <c r="O30" s="4">
        <f t="shared" ref="O30:P30" si="25">SUM(O31:O32)</f>
        <v>0</v>
      </c>
      <c r="P30" s="4">
        <f t="shared" si="25"/>
        <v>0</v>
      </c>
      <c r="Q30" s="4">
        <f t="shared" si="22"/>
        <v>0</v>
      </c>
      <c r="R30" s="4">
        <f t="shared" si="22"/>
        <v>0</v>
      </c>
      <c r="S30" s="4">
        <f t="shared" si="22"/>
        <v>0</v>
      </c>
      <c r="T30" s="4">
        <f t="shared" si="22"/>
        <v>0</v>
      </c>
      <c r="U30" s="4">
        <f t="shared" si="22"/>
        <v>0</v>
      </c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  <c r="IW30" s="87"/>
      <c r="IX30" s="87"/>
      <c r="IY30" s="87"/>
      <c r="IZ30" s="87"/>
      <c r="JA30" s="87"/>
    </row>
    <row r="31" spans="1:261" s="21" customFormat="1" ht="12.6" customHeight="1">
      <c r="A31" s="84">
        <v>371</v>
      </c>
      <c r="B31" s="9" t="s">
        <v>358</v>
      </c>
      <c r="C31" s="15">
        <f t="shared" si="4"/>
        <v>0</v>
      </c>
      <c r="D31" s="141">
        <f>SUMIFS('Plan rashoda za unos u SAP'!$I$3:$I$501,'Plan rashoda za unos u SAP'!$C$3:$C$501,"=11",'Plan rashoda za unos u SAP'!$M$3:$M$501,"=371")</f>
        <v>0</v>
      </c>
      <c r="E31" s="141">
        <f>SUMIFS('Plan rashoda za unos u SAP'!$I$3:$I$501,'Plan rashoda za unos u SAP'!$C$3:$C$501,"=12",'Plan rashoda za unos u SAP'!$M$3:$M$501,"=371")</f>
        <v>0</v>
      </c>
      <c r="F31" s="141">
        <f>SUMIFS('Plan rashoda za unos u SAP'!$I$3:$I$501,'Plan rashoda za unos u SAP'!$C$3:$C$501,"=31",'Plan rashoda za unos u SAP'!$M$3:$M$501,"=371")</f>
        <v>0</v>
      </c>
      <c r="G31" s="141">
        <f>SUMIFS('Plan rashoda za unos u SAP'!$I$3:$I$501,'Plan rashoda za unos u SAP'!$C$3:$C$501,"=41",'Plan rashoda za unos u SAP'!$M$3:$M$501,"=371")</f>
        <v>0</v>
      </c>
      <c r="H31" s="141">
        <f>SUMIFS('Plan rashoda za unos u SAP'!$I$3:$I$501,'Plan rashoda za unos u SAP'!$C$3:$C$501,"=43",'Plan rashoda za unos u SAP'!$M$3:$M$501,"=371")</f>
        <v>0</v>
      </c>
      <c r="I31" s="141">
        <f>SUMIFS('Plan rashoda za unos u SAP'!$I$3:$I$501,'Plan rashoda za unos u SAP'!$C$3:$C$501,"=51",'Plan rashoda za unos u SAP'!$M$3:$M$501,"=371")</f>
        <v>0</v>
      </c>
      <c r="J31" s="141">
        <f>SUMIFS('Plan rashoda za unos u SAP'!$I$3:$I$501,'Plan rashoda za unos u SAP'!$C$3:$C$501,"=52",'Plan rashoda za unos u SAP'!$M$3:$M$501,"=371")</f>
        <v>0</v>
      </c>
      <c r="K31" s="141">
        <f>SUMIFS('Plan rashoda za unos u SAP'!$I$3:$I$501,'Plan rashoda za unos u SAP'!$C$3:$C$501,"=552",'Plan rashoda za unos u SAP'!$M$3:$M$501,"=371")</f>
        <v>0</v>
      </c>
      <c r="L31" s="141">
        <f>SUMIFS('Plan rashoda za unos u SAP'!$I$3:$I$501,'Plan rashoda za unos u SAP'!$C$3:$C$501,"=559",'Plan rashoda za unos u SAP'!$M$3:$M$501,"=371")</f>
        <v>0</v>
      </c>
      <c r="M31" s="141">
        <f>SUMIFS('Plan rashoda za unos u SAP'!$I$3:$I$501,'Plan rashoda za unos u SAP'!$C$3:$C$501,"=561",'Plan rashoda za unos u SAP'!$M$3:$M$501,"=371")</f>
        <v>0</v>
      </c>
      <c r="N31" s="141">
        <f>SUMIFS('Plan rashoda za unos u SAP'!$I$3:$I$501,'Plan rashoda za unos u SAP'!$C$3:$C$501,"=563",'Plan rashoda za unos u SAP'!$M$3:$M$501,"=371")</f>
        <v>0</v>
      </c>
      <c r="O31" s="141">
        <f>SUMIFS('Plan rashoda za unos u SAP'!$I$3:$I$501,'Plan rashoda za unos u SAP'!$C$3:$C$501,"=573",'Plan rashoda za unos u SAP'!$M$3:$M$501,"=371")</f>
        <v>0</v>
      </c>
      <c r="P31" s="141">
        <f>SUMIFS('Plan rashoda za unos u SAP'!$I$3:$I$501,'Plan rashoda za unos u SAP'!$C$3:$C$501,"=575",'Plan rashoda za unos u SAP'!$M$3:$M$501,"=371")</f>
        <v>0</v>
      </c>
      <c r="Q31" s="141">
        <f>SUMIFS('Plan rashoda za unos u SAP'!$I$3:$I$501,'Plan rashoda za unos u SAP'!$C$3:$C$501,"=61",'Plan rashoda za unos u SAP'!$M$3:$M$501,"=371")</f>
        <v>0</v>
      </c>
      <c r="R31" s="141">
        <f>SUMIFS('Plan rashoda za unos u SAP'!$I$3:$I$501,'Plan rashoda za unos u SAP'!$C$3:$C$501,"=63",'Plan rashoda za unos u SAP'!$M$3:$M$501,"=371")</f>
        <v>0</v>
      </c>
      <c r="S31" s="141">
        <f>SUMIFS('Plan rashoda za unos u SAP'!$I$3:$I$501,'Plan rashoda za unos u SAP'!$C$3:$C$501,"=71",'Plan rashoda za unos u SAP'!$M$3:$M$501,"=371")</f>
        <v>0</v>
      </c>
      <c r="T31" s="141">
        <f>SUMIFS('Plan rashoda za unos u SAP'!$I$3:$I$501,'Plan rashoda za unos u SAP'!$C$3:$C$501,"=81",'Plan rashoda za unos u SAP'!$M$3:$M$501,"=371")</f>
        <v>0</v>
      </c>
      <c r="U31" s="141">
        <f>SUMIFS('Plan rashoda za unos u SAP'!$I$3:$I$501,'Plan rashoda za unos u SAP'!$C$3:$C$501,"=83",'Plan rashoda za unos u SAP'!$M$3:$M$501,"=371")</f>
        <v>0</v>
      </c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  <c r="IW31" s="87"/>
      <c r="IX31" s="87"/>
      <c r="IY31" s="87"/>
      <c r="IZ31" s="87"/>
      <c r="JA31" s="87"/>
    </row>
    <row r="32" spans="1:261" s="22" customFormat="1" ht="12.6" customHeight="1">
      <c r="A32" s="84">
        <v>372</v>
      </c>
      <c r="B32" s="88" t="s">
        <v>226</v>
      </c>
      <c r="C32" s="15">
        <f t="shared" si="4"/>
        <v>102000</v>
      </c>
      <c r="D32" s="141">
        <f>SUMIFS('Plan rashoda za unos u SAP'!$I$3:$I$501,'Plan rashoda za unos u SAP'!$C$3:$C$501,"=11",'Plan rashoda za unos u SAP'!$M$3:$M$501,"=372")</f>
        <v>82000</v>
      </c>
      <c r="E32" s="141">
        <f>SUMIFS('Plan rashoda za unos u SAP'!$I$3:$I$501,'Plan rashoda za unos u SAP'!$C$3:$C$501,"=12",'Plan rashoda za unos u SAP'!$M$3:$M$501,"=372")</f>
        <v>0</v>
      </c>
      <c r="F32" s="141">
        <f>SUMIFS('Plan rashoda za unos u SAP'!$I$3:$I$501,'Plan rashoda za unos u SAP'!$C$3:$C$501,"=31",'Plan rashoda za unos u SAP'!$M$3:$M$501,"=372")</f>
        <v>0</v>
      </c>
      <c r="G32" s="141">
        <f>SUMIFS('Plan rashoda za unos u SAP'!$I$3:$I$501,'Plan rashoda za unos u SAP'!$C$3:$C$501,"=41",'Plan rashoda za unos u SAP'!$M$3:$M$501,"=372")</f>
        <v>0</v>
      </c>
      <c r="H32" s="141">
        <f>SUMIFS('Plan rashoda za unos u SAP'!$I$3:$I$501,'Plan rashoda za unos u SAP'!$C$3:$C$501,"=43",'Plan rashoda za unos u SAP'!$M$3:$M$501,"=372")</f>
        <v>20000</v>
      </c>
      <c r="I32" s="141">
        <f>SUMIFS('Plan rashoda za unos u SAP'!$I$3:$I$501,'Plan rashoda za unos u SAP'!$C$3:$C$501,"=51",'Plan rashoda za unos u SAP'!$M$3:$M$501,"=372")</f>
        <v>0</v>
      </c>
      <c r="J32" s="141">
        <f>SUMIFS('Plan rashoda za unos u SAP'!$I$3:$I$501,'Plan rashoda za unos u SAP'!$C$3:$C$501,"=52",'Plan rashoda za unos u SAP'!$M$3:$M$501,"=372")</f>
        <v>0</v>
      </c>
      <c r="K32" s="141">
        <f>SUMIFS('Plan rashoda za unos u SAP'!$I$3:$I$501,'Plan rashoda za unos u SAP'!$C$3:$C$501,"=552",'Plan rashoda za unos u SAP'!$M$3:$M$501,"=372")</f>
        <v>0</v>
      </c>
      <c r="L32" s="141">
        <f>SUMIFS('Plan rashoda za unos u SAP'!$I$3:$I$501,'Plan rashoda za unos u SAP'!$C$3:$C$501,"=559",'Plan rashoda za unos u SAP'!$M$3:$M$501,"=372")</f>
        <v>0</v>
      </c>
      <c r="M32" s="141">
        <f>SUMIFS('Plan rashoda za unos u SAP'!$I$3:$I$501,'Plan rashoda za unos u SAP'!$C$3:$C$501,"=561",'Plan rashoda za unos u SAP'!$M$3:$M$501,"=372")</f>
        <v>0</v>
      </c>
      <c r="N32" s="141">
        <f>SUMIFS('Plan rashoda za unos u SAP'!$I$3:$I$501,'Plan rashoda za unos u SAP'!$C$3:$C$501,"=563",'Plan rashoda za unos u SAP'!$M$3:$M$501,"=372")</f>
        <v>0</v>
      </c>
      <c r="O32" s="141">
        <f>SUMIFS('Plan rashoda za unos u SAP'!$I$3:$I$501,'Plan rashoda za unos u SAP'!$C$3:$C$501,"=573",'Plan rashoda za unos u SAP'!$M$3:$M$501,"=372")</f>
        <v>0</v>
      </c>
      <c r="P32" s="141">
        <f>SUMIFS('Plan rashoda za unos u SAP'!$I$3:$I$501,'Plan rashoda za unos u SAP'!$C$3:$C$501,"=575",'Plan rashoda za unos u SAP'!$M$3:$M$501,"=372")</f>
        <v>0</v>
      </c>
      <c r="Q32" s="141">
        <f>SUMIFS('Plan rashoda za unos u SAP'!$I$3:$I$501,'Plan rashoda za unos u SAP'!$C$3:$C$501,"=61",'Plan rashoda za unos u SAP'!$M$3:$M$501,"=372")</f>
        <v>0</v>
      </c>
      <c r="R32" s="141">
        <f>SUMIFS('Plan rashoda za unos u SAP'!$I$3:$I$501,'Plan rashoda za unos u SAP'!$C$3:$C$501,"=63",'Plan rashoda za unos u SAP'!$M$3:$M$501,"=372")</f>
        <v>0</v>
      </c>
      <c r="S32" s="141">
        <f>SUMIFS('Plan rashoda za unos u SAP'!$I$3:$I$501,'Plan rashoda za unos u SAP'!$C$3:$C$501,"=71",'Plan rashoda za unos u SAP'!$M$3:$M$501,"=372")</f>
        <v>0</v>
      </c>
      <c r="T32" s="141">
        <f>SUMIFS('Plan rashoda za unos u SAP'!$I$3:$I$501,'Plan rashoda za unos u SAP'!$C$3:$C$501,"=81",'Plan rashoda za unos u SAP'!$M$3:$M$501,"=372")</f>
        <v>0</v>
      </c>
      <c r="U32" s="141">
        <f>SUMIFS('Plan rashoda za unos u SAP'!$I$3:$I$501,'Plan rashoda za unos u SAP'!$C$3:$C$501,"=83",'Plan rashoda za unos u SAP'!$M$3:$M$501,"=372")</f>
        <v>0</v>
      </c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</row>
    <row r="33" spans="1:261" s="21" customFormat="1" ht="12.6" customHeight="1">
      <c r="A33" s="85">
        <v>38</v>
      </c>
      <c r="B33" s="16" t="s">
        <v>227</v>
      </c>
      <c r="C33" s="4">
        <f t="shared" si="4"/>
        <v>45510</v>
      </c>
      <c r="D33" s="4">
        <f t="shared" ref="D33:U33" si="26">SUM(D34:D37)</f>
        <v>25510</v>
      </c>
      <c r="E33" s="4">
        <f t="shared" si="26"/>
        <v>0</v>
      </c>
      <c r="F33" s="4">
        <f t="shared" si="26"/>
        <v>20000</v>
      </c>
      <c r="G33" s="4">
        <f t="shared" ref="G33" si="27">SUM(G34:G37)</f>
        <v>0</v>
      </c>
      <c r="H33" s="4">
        <f t="shared" si="26"/>
        <v>0</v>
      </c>
      <c r="I33" s="4">
        <f t="shared" si="26"/>
        <v>0</v>
      </c>
      <c r="J33" s="4">
        <f t="shared" si="26"/>
        <v>0</v>
      </c>
      <c r="K33" s="4">
        <f t="shared" ref="K33" si="28">SUM(K34:K37)</f>
        <v>0</v>
      </c>
      <c r="L33" s="4">
        <f t="shared" si="26"/>
        <v>0</v>
      </c>
      <c r="M33" s="4">
        <f t="shared" si="26"/>
        <v>0</v>
      </c>
      <c r="N33" s="4">
        <f t="shared" si="26"/>
        <v>0</v>
      </c>
      <c r="O33" s="4">
        <f t="shared" ref="O33:P33" si="29">SUM(O34:O37)</f>
        <v>0</v>
      </c>
      <c r="P33" s="4">
        <f t="shared" si="29"/>
        <v>0</v>
      </c>
      <c r="Q33" s="4">
        <f t="shared" si="26"/>
        <v>0</v>
      </c>
      <c r="R33" s="4">
        <f t="shared" si="26"/>
        <v>0</v>
      </c>
      <c r="S33" s="4">
        <f t="shared" si="26"/>
        <v>0</v>
      </c>
      <c r="T33" s="4">
        <f t="shared" si="26"/>
        <v>0</v>
      </c>
      <c r="U33" s="4">
        <f t="shared" si="26"/>
        <v>0</v>
      </c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6"/>
      <c r="GF33" s="86"/>
      <c r="GG33" s="86"/>
      <c r="GH33" s="86"/>
      <c r="GI33" s="86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  <c r="IW33" s="87"/>
      <c r="IX33" s="87"/>
      <c r="IY33" s="87"/>
      <c r="IZ33" s="87"/>
      <c r="JA33" s="87"/>
    </row>
    <row r="34" spans="1:261" s="22" customFormat="1" ht="12.6" customHeight="1">
      <c r="A34" s="83">
        <v>381</v>
      </c>
      <c r="B34" s="9" t="s">
        <v>228</v>
      </c>
      <c r="C34" s="15">
        <f t="shared" si="4"/>
        <v>0</v>
      </c>
      <c r="D34" s="141">
        <f>SUMIFS('Plan rashoda za unos u SAP'!$I$3:$I$501,'Plan rashoda za unos u SAP'!$C$3:$C$501,"=11",'Plan rashoda za unos u SAP'!$M$3:$M$501,"=381")</f>
        <v>0</v>
      </c>
      <c r="E34" s="141">
        <f>SUMIFS('Plan rashoda za unos u SAP'!$I$3:$I$501,'Plan rashoda za unos u SAP'!$C$3:$C$501,"=12",'Plan rashoda za unos u SAP'!$M$3:$M$501,"=381")</f>
        <v>0</v>
      </c>
      <c r="F34" s="141">
        <f>SUMIFS('Plan rashoda za unos u SAP'!$I$3:$I$501,'Plan rashoda za unos u SAP'!$C$3:$C$501,"=31",'Plan rashoda za unos u SAP'!$M$3:$M$501,"=381")</f>
        <v>0</v>
      </c>
      <c r="G34" s="141">
        <f>SUMIFS('Plan rashoda za unos u SAP'!$I$3:$I$501,'Plan rashoda za unos u SAP'!$C$3:$C$501,"=41",'Plan rashoda za unos u SAP'!$M$3:$M$501,"=381")</f>
        <v>0</v>
      </c>
      <c r="H34" s="141">
        <f>SUMIFS('Plan rashoda za unos u SAP'!$I$3:$I$501,'Plan rashoda za unos u SAP'!$C$3:$C$501,"=43",'Plan rashoda za unos u SAP'!$M$3:$M$501,"=381")</f>
        <v>0</v>
      </c>
      <c r="I34" s="141">
        <f>SUMIFS('Plan rashoda za unos u SAP'!$I$3:$I$501,'Plan rashoda za unos u SAP'!$C$3:$C$501,"=51",'Plan rashoda za unos u SAP'!$M$3:$M$501,"=381")</f>
        <v>0</v>
      </c>
      <c r="J34" s="141">
        <f>SUMIFS('Plan rashoda za unos u SAP'!$I$3:$I$501,'Plan rashoda za unos u SAP'!$C$3:$C$501,"=52",'Plan rashoda za unos u SAP'!$M$3:$M$501,"=381")</f>
        <v>0</v>
      </c>
      <c r="K34" s="141">
        <f>SUMIFS('Plan rashoda za unos u SAP'!$I$3:$I$501,'Plan rashoda za unos u SAP'!$C$3:$C$501,"=552",'Plan rashoda za unos u SAP'!$M$3:$M$501,"=381")</f>
        <v>0</v>
      </c>
      <c r="L34" s="141">
        <f>SUMIFS('Plan rashoda za unos u SAP'!$I$3:$I$501,'Plan rashoda za unos u SAP'!$C$3:$C$501,"=559",'Plan rashoda za unos u SAP'!$M$3:$M$501,"=381")</f>
        <v>0</v>
      </c>
      <c r="M34" s="141">
        <f>SUMIFS('Plan rashoda za unos u SAP'!$I$3:$I$501,'Plan rashoda za unos u SAP'!$C$3:$C$501,"=561",'Plan rashoda za unos u SAP'!$M$3:$M$501,"=381")</f>
        <v>0</v>
      </c>
      <c r="N34" s="141">
        <f>SUMIFS('Plan rashoda za unos u SAP'!$I$3:$I$501,'Plan rashoda za unos u SAP'!$C$3:$C$501,"=563",'Plan rashoda za unos u SAP'!$M$3:$M$501,"=381")</f>
        <v>0</v>
      </c>
      <c r="O34" s="141">
        <f>SUMIFS('Plan rashoda za unos u SAP'!$I$3:$I$501,'Plan rashoda za unos u SAP'!$C$3:$C$501,"=573",'Plan rashoda za unos u SAP'!$M$3:$M$501,"=381")</f>
        <v>0</v>
      </c>
      <c r="P34" s="141">
        <f>SUMIFS('Plan rashoda za unos u SAP'!$I$3:$I$501,'Plan rashoda za unos u SAP'!$C$3:$C$501,"=575",'Plan rashoda za unos u SAP'!$M$3:$M$501,"=381")</f>
        <v>0</v>
      </c>
      <c r="Q34" s="141">
        <f>SUMIFS('Plan rashoda za unos u SAP'!$I$3:$I$501,'Plan rashoda za unos u SAP'!$C$3:$C$501,"=61",'Plan rashoda za unos u SAP'!$M$3:$M$501,"=381")</f>
        <v>0</v>
      </c>
      <c r="R34" s="141">
        <f>SUMIFS('Plan rashoda za unos u SAP'!$I$3:$I$501,'Plan rashoda za unos u SAP'!$C$3:$C$501,"=63",'Plan rashoda za unos u SAP'!$M$3:$M$501,"=381")</f>
        <v>0</v>
      </c>
      <c r="S34" s="141">
        <f>SUMIFS('Plan rashoda za unos u SAP'!$I$3:$I$501,'Plan rashoda za unos u SAP'!$C$3:$C$501,"=71",'Plan rashoda za unos u SAP'!$M$3:$M$501,"=381")</f>
        <v>0</v>
      </c>
      <c r="T34" s="141">
        <f>SUMIFS('Plan rashoda za unos u SAP'!$I$3:$I$501,'Plan rashoda za unos u SAP'!$C$3:$C$501,"=81",'Plan rashoda za unos u SAP'!$M$3:$M$501,"=381")</f>
        <v>0</v>
      </c>
      <c r="U34" s="141">
        <f>SUMIFS('Plan rashoda za unos u SAP'!$I$3:$I$501,'Plan rashoda za unos u SAP'!$C$3:$C$501,"=83",'Plan rashoda za unos u SAP'!$M$3:$M$501,"=381")</f>
        <v>0</v>
      </c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  <c r="IW34" s="74"/>
      <c r="IX34" s="74"/>
      <c r="IY34" s="74"/>
      <c r="IZ34" s="74"/>
      <c r="JA34" s="74"/>
    </row>
    <row r="35" spans="1:261" s="22" customFormat="1" ht="12.6" customHeight="1">
      <c r="A35" s="83">
        <v>382</v>
      </c>
      <c r="B35" s="9" t="s">
        <v>359</v>
      </c>
      <c r="C35" s="15">
        <f t="shared" si="4"/>
        <v>0</v>
      </c>
      <c r="D35" s="141">
        <f>SUMIFS('Plan rashoda za unos u SAP'!$I$3:$I$501,'Plan rashoda za unos u SAP'!$C$3:$C$501,"=11",'Plan rashoda za unos u SAP'!$M$3:$M$501,"=382")</f>
        <v>0</v>
      </c>
      <c r="E35" s="141">
        <f>SUMIFS('Plan rashoda za unos u SAP'!$I$3:$I$501,'Plan rashoda za unos u SAP'!$C$3:$C$501,"=12",'Plan rashoda za unos u SAP'!$M$3:$M$501,"=382")</f>
        <v>0</v>
      </c>
      <c r="F35" s="141">
        <f>SUMIFS('Plan rashoda za unos u SAP'!$I$3:$I$501,'Plan rashoda za unos u SAP'!$C$3:$C$501,"=31",'Plan rashoda za unos u SAP'!$M$3:$M$501,"=382")</f>
        <v>0</v>
      </c>
      <c r="G35" s="141">
        <f>SUMIFS('Plan rashoda za unos u SAP'!$I$3:$I$501,'Plan rashoda za unos u SAP'!$C$3:$C$501,"=41",'Plan rashoda za unos u SAP'!$M$3:$M$501,"=382")</f>
        <v>0</v>
      </c>
      <c r="H35" s="141">
        <f>SUMIFS('Plan rashoda za unos u SAP'!$I$3:$I$501,'Plan rashoda za unos u SAP'!$C$3:$C$501,"=43",'Plan rashoda za unos u SAP'!$M$3:$M$501,"=382")</f>
        <v>0</v>
      </c>
      <c r="I35" s="141">
        <f>SUMIFS('Plan rashoda za unos u SAP'!$I$3:$I$501,'Plan rashoda za unos u SAP'!$C$3:$C$501,"=51",'Plan rashoda za unos u SAP'!$M$3:$M$501,"=382")</f>
        <v>0</v>
      </c>
      <c r="J35" s="141">
        <f>SUMIFS('Plan rashoda za unos u SAP'!$I$3:$I$501,'Plan rashoda za unos u SAP'!$C$3:$C$501,"=52",'Plan rashoda za unos u SAP'!$M$3:$M$501,"=382")</f>
        <v>0</v>
      </c>
      <c r="K35" s="141">
        <f>SUMIFS('Plan rashoda za unos u SAP'!$I$3:$I$501,'Plan rashoda za unos u SAP'!$C$3:$C$501,"=552",'Plan rashoda za unos u SAP'!$M$3:$M$501,"=382")</f>
        <v>0</v>
      </c>
      <c r="L35" s="141">
        <f>SUMIFS('Plan rashoda za unos u SAP'!$I$3:$I$501,'Plan rashoda za unos u SAP'!$C$3:$C$501,"=559",'Plan rashoda za unos u SAP'!$M$3:$M$501,"=382")</f>
        <v>0</v>
      </c>
      <c r="M35" s="141">
        <f>SUMIFS('Plan rashoda za unos u SAP'!$I$3:$I$501,'Plan rashoda za unos u SAP'!$C$3:$C$501,"=561",'Plan rashoda za unos u SAP'!$M$3:$M$501,"=382")</f>
        <v>0</v>
      </c>
      <c r="N35" s="141">
        <f>SUMIFS('Plan rashoda za unos u SAP'!$I$3:$I$501,'Plan rashoda za unos u SAP'!$C$3:$C$501,"=563",'Plan rashoda za unos u SAP'!$M$3:$M$501,"=382")</f>
        <v>0</v>
      </c>
      <c r="O35" s="141">
        <f>SUMIFS('Plan rashoda za unos u SAP'!$I$3:$I$501,'Plan rashoda za unos u SAP'!$C$3:$C$501,"=573",'Plan rashoda za unos u SAP'!$M$3:$M$501,"=382")</f>
        <v>0</v>
      </c>
      <c r="P35" s="141">
        <f>SUMIFS('Plan rashoda za unos u SAP'!$I$3:$I$501,'Plan rashoda za unos u SAP'!$C$3:$C$501,"=575",'Plan rashoda za unos u SAP'!$M$3:$M$501,"=382")</f>
        <v>0</v>
      </c>
      <c r="Q35" s="141">
        <f>SUMIFS('Plan rashoda za unos u SAP'!$I$3:$I$501,'Plan rashoda za unos u SAP'!$C$3:$C$501,"=61",'Plan rashoda za unos u SAP'!$M$3:$M$501,"=382")</f>
        <v>0</v>
      </c>
      <c r="R35" s="141">
        <f>SUMIFS('Plan rashoda za unos u SAP'!$I$3:$I$501,'Plan rashoda za unos u SAP'!$C$3:$C$501,"=63",'Plan rashoda za unos u SAP'!$M$3:$M$501,"=382")</f>
        <v>0</v>
      </c>
      <c r="S35" s="141">
        <f>SUMIFS('Plan rashoda za unos u SAP'!$I$3:$I$501,'Plan rashoda za unos u SAP'!$C$3:$C$501,"=71",'Plan rashoda za unos u SAP'!$M$3:$M$501,"=382")</f>
        <v>0</v>
      </c>
      <c r="T35" s="141">
        <f>SUMIFS('Plan rashoda za unos u SAP'!$I$3:$I$501,'Plan rashoda za unos u SAP'!$C$3:$C$501,"=81",'Plan rashoda za unos u SAP'!$M$3:$M$501,"=382")</f>
        <v>0</v>
      </c>
      <c r="U35" s="141">
        <f>SUMIFS('Plan rashoda za unos u SAP'!$I$3:$I$501,'Plan rashoda za unos u SAP'!$C$3:$C$501,"=83",'Plan rashoda za unos u SAP'!$M$3:$M$501,"=382")</f>
        <v>0</v>
      </c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  <c r="IW35" s="74"/>
      <c r="IX35" s="74"/>
      <c r="IY35" s="74"/>
      <c r="IZ35" s="74"/>
      <c r="JA35" s="74"/>
    </row>
    <row r="36" spans="1:261" s="22" customFormat="1" ht="12.6" customHeight="1">
      <c r="A36" s="84">
        <v>383</v>
      </c>
      <c r="B36" s="9" t="s">
        <v>360</v>
      </c>
      <c r="C36" s="15">
        <f t="shared" si="4"/>
        <v>45510</v>
      </c>
      <c r="D36" s="141">
        <f>SUMIFS('Plan rashoda za unos u SAP'!$I$3:$I$501,'Plan rashoda za unos u SAP'!$C$3:$C$501,"=11",'Plan rashoda za unos u SAP'!$M$3:$M$501,"=383")</f>
        <v>25510</v>
      </c>
      <c r="E36" s="141">
        <f>SUMIFS('Plan rashoda za unos u SAP'!$I$3:$I$501,'Plan rashoda za unos u SAP'!$C$3:$C$501,"=12",'Plan rashoda za unos u SAP'!$M$3:$M$501,"=383")</f>
        <v>0</v>
      </c>
      <c r="F36" s="141">
        <f>SUMIFS('Plan rashoda za unos u SAP'!$I$3:$I$501,'Plan rashoda za unos u SAP'!$C$3:$C$501,"=31",'Plan rashoda za unos u SAP'!$M$3:$M$501,"=383")</f>
        <v>20000</v>
      </c>
      <c r="G36" s="141">
        <f>SUMIFS('Plan rashoda za unos u SAP'!$I$3:$I$501,'Plan rashoda za unos u SAP'!$C$3:$C$501,"=41",'Plan rashoda za unos u SAP'!$M$3:$M$501,"=383")</f>
        <v>0</v>
      </c>
      <c r="H36" s="141">
        <f>SUMIFS('Plan rashoda za unos u SAP'!$I$3:$I$501,'Plan rashoda za unos u SAP'!$C$3:$C$501,"=43",'Plan rashoda za unos u SAP'!$M$3:$M$501,"=383")</f>
        <v>0</v>
      </c>
      <c r="I36" s="141">
        <f>SUMIFS('Plan rashoda za unos u SAP'!$I$3:$I$501,'Plan rashoda za unos u SAP'!$C$3:$C$501,"=51",'Plan rashoda za unos u SAP'!$M$3:$M$501,"=383")</f>
        <v>0</v>
      </c>
      <c r="J36" s="141">
        <f>SUMIFS('Plan rashoda za unos u SAP'!$I$3:$I$501,'Plan rashoda za unos u SAP'!$C$3:$C$501,"=52",'Plan rashoda za unos u SAP'!$M$3:$M$501,"=383")</f>
        <v>0</v>
      </c>
      <c r="K36" s="141">
        <f>SUMIFS('Plan rashoda za unos u SAP'!$I$3:$I$501,'Plan rashoda za unos u SAP'!$C$3:$C$501,"=552",'Plan rashoda za unos u SAP'!$M$3:$M$501,"=383")</f>
        <v>0</v>
      </c>
      <c r="L36" s="141">
        <f>SUMIFS('Plan rashoda za unos u SAP'!$I$3:$I$501,'Plan rashoda za unos u SAP'!$C$3:$C$501,"=559",'Plan rashoda za unos u SAP'!$M$3:$M$501,"=383")</f>
        <v>0</v>
      </c>
      <c r="M36" s="141">
        <f>SUMIFS('Plan rashoda za unos u SAP'!$I$3:$I$501,'Plan rashoda za unos u SAP'!$C$3:$C$501,"=561",'Plan rashoda za unos u SAP'!$M$3:$M$501,"=383")</f>
        <v>0</v>
      </c>
      <c r="N36" s="141">
        <f>SUMIFS('Plan rashoda za unos u SAP'!$I$3:$I$501,'Plan rashoda za unos u SAP'!$C$3:$C$501,"=563",'Plan rashoda za unos u SAP'!$M$3:$M$501,"=383")</f>
        <v>0</v>
      </c>
      <c r="O36" s="141">
        <f>SUMIFS('Plan rashoda za unos u SAP'!$I$3:$I$501,'Plan rashoda za unos u SAP'!$C$3:$C$501,"=573",'Plan rashoda za unos u SAP'!$M$3:$M$501,"=383")</f>
        <v>0</v>
      </c>
      <c r="P36" s="141">
        <f>SUMIFS('Plan rashoda za unos u SAP'!$I$3:$I$501,'Plan rashoda za unos u SAP'!$C$3:$C$501,"=575",'Plan rashoda za unos u SAP'!$M$3:$M$501,"=383")</f>
        <v>0</v>
      </c>
      <c r="Q36" s="141">
        <f>SUMIFS('Plan rashoda za unos u SAP'!$I$3:$I$501,'Plan rashoda za unos u SAP'!$C$3:$C$501,"=61",'Plan rashoda za unos u SAP'!$M$3:$M$501,"=383")</f>
        <v>0</v>
      </c>
      <c r="R36" s="141">
        <f>SUMIFS('Plan rashoda za unos u SAP'!$I$3:$I$501,'Plan rashoda za unos u SAP'!$C$3:$C$501,"=63",'Plan rashoda za unos u SAP'!$M$3:$M$501,"=383")</f>
        <v>0</v>
      </c>
      <c r="S36" s="141">
        <f>SUMIFS('Plan rashoda za unos u SAP'!$I$3:$I$501,'Plan rashoda za unos u SAP'!$C$3:$C$501,"=71",'Plan rashoda za unos u SAP'!$M$3:$M$501,"=383")</f>
        <v>0</v>
      </c>
      <c r="T36" s="141">
        <f>SUMIFS('Plan rashoda za unos u SAP'!$I$3:$I$501,'Plan rashoda za unos u SAP'!$C$3:$C$501,"=81",'Plan rashoda za unos u SAP'!$M$3:$M$501,"=383")</f>
        <v>0</v>
      </c>
      <c r="U36" s="141">
        <f>SUMIFS('Plan rashoda za unos u SAP'!$I$3:$I$501,'Plan rashoda za unos u SAP'!$C$3:$C$501,"=83",'Plan rashoda za unos u SAP'!$M$3:$M$501,"=383")</f>
        <v>0</v>
      </c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</row>
    <row r="37" spans="1:261" s="22" customFormat="1" ht="12.6" customHeight="1">
      <c r="A37" s="84">
        <v>386</v>
      </c>
      <c r="B37" s="88" t="s">
        <v>361</v>
      </c>
      <c r="C37" s="15">
        <f t="shared" si="4"/>
        <v>0</v>
      </c>
      <c r="D37" s="141">
        <f>SUMIFS('Plan rashoda za unos u SAP'!$I$3:$I$501,'Plan rashoda za unos u SAP'!$C$3:$C$501,"=11",'Plan rashoda za unos u SAP'!$M$3:$M$501,"=386")</f>
        <v>0</v>
      </c>
      <c r="E37" s="141">
        <f>SUMIFS('Plan rashoda za unos u SAP'!$I$3:$I$501,'Plan rashoda za unos u SAP'!$C$3:$C$501,"=12",'Plan rashoda za unos u SAP'!$M$3:$M$501,"=386")</f>
        <v>0</v>
      </c>
      <c r="F37" s="141">
        <f>SUMIFS('Plan rashoda za unos u SAP'!$I$3:$I$501,'Plan rashoda za unos u SAP'!$C$3:$C$501,"=31",'Plan rashoda za unos u SAP'!$M$3:$M$501,"=386")</f>
        <v>0</v>
      </c>
      <c r="G37" s="141">
        <f>SUMIFS('Plan rashoda za unos u SAP'!$I$3:$I$501,'Plan rashoda za unos u SAP'!$C$3:$C$501,"=41",'Plan rashoda za unos u SAP'!$M$3:$M$501,"=386")</f>
        <v>0</v>
      </c>
      <c r="H37" s="141">
        <f>SUMIFS('Plan rashoda za unos u SAP'!$I$3:$I$501,'Plan rashoda za unos u SAP'!$C$3:$C$501,"=43",'Plan rashoda za unos u SAP'!$M$3:$M$501,"=386")</f>
        <v>0</v>
      </c>
      <c r="I37" s="141">
        <f>SUMIFS('Plan rashoda za unos u SAP'!$I$3:$I$501,'Plan rashoda za unos u SAP'!$C$3:$C$501,"=51",'Plan rashoda za unos u SAP'!$M$3:$M$501,"=386")</f>
        <v>0</v>
      </c>
      <c r="J37" s="141">
        <f>SUMIFS('Plan rashoda za unos u SAP'!$I$3:$I$501,'Plan rashoda za unos u SAP'!$C$3:$C$501,"=52",'Plan rashoda za unos u SAP'!$M$3:$M$501,"=386")</f>
        <v>0</v>
      </c>
      <c r="K37" s="141">
        <f>SUMIFS('Plan rashoda za unos u SAP'!$I$3:$I$501,'Plan rashoda za unos u SAP'!$C$3:$C$501,"=552",'Plan rashoda za unos u SAP'!$M$3:$M$501,"=386")</f>
        <v>0</v>
      </c>
      <c r="L37" s="141">
        <f>SUMIFS('Plan rashoda za unos u SAP'!$I$3:$I$501,'Plan rashoda za unos u SAP'!$C$3:$C$501,"=559",'Plan rashoda za unos u SAP'!$M$3:$M$501,"=386")</f>
        <v>0</v>
      </c>
      <c r="M37" s="141">
        <f>SUMIFS('Plan rashoda za unos u SAP'!$I$3:$I$501,'Plan rashoda za unos u SAP'!$C$3:$C$501,"=561",'Plan rashoda za unos u SAP'!$M$3:$M$501,"=386")</f>
        <v>0</v>
      </c>
      <c r="N37" s="141">
        <f>SUMIFS('Plan rashoda za unos u SAP'!$I$3:$I$501,'Plan rashoda za unos u SAP'!$C$3:$C$501,"=563",'Plan rashoda za unos u SAP'!$M$3:$M$501,"=386")</f>
        <v>0</v>
      </c>
      <c r="O37" s="141">
        <f>SUMIFS('Plan rashoda za unos u SAP'!$I$3:$I$501,'Plan rashoda za unos u SAP'!$C$3:$C$501,"=573",'Plan rashoda za unos u SAP'!$M$3:$M$501,"=386")</f>
        <v>0</v>
      </c>
      <c r="P37" s="141">
        <f>SUMIFS('Plan rashoda za unos u SAP'!$I$3:$I$501,'Plan rashoda za unos u SAP'!$C$3:$C$501,"=575",'Plan rashoda za unos u SAP'!$M$3:$M$501,"=386")</f>
        <v>0</v>
      </c>
      <c r="Q37" s="141">
        <f>SUMIFS('Plan rashoda za unos u SAP'!$I$3:$I$501,'Plan rashoda za unos u SAP'!$C$3:$C$501,"=61",'Plan rashoda za unos u SAP'!$M$3:$M$501,"=386")</f>
        <v>0</v>
      </c>
      <c r="R37" s="141">
        <f>SUMIFS('Plan rashoda za unos u SAP'!$I$3:$I$501,'Plan rashoda za unos u SAP'!$C$3:$C$501,"=63",'Plan rashoda za unos u SAP'!$M$3:$M$501,"=386")</f>
        <v>0</v>
      </c>
      <c r="S37" s="141">
        <f>SUMIFS('Plan rashoda za unos u SAP'!$I$3:$I$501,'Plan rashoda za unos u SAP'!$C$3:$C$501,"=71",'Plan rashoda za unos u SAP'!$M$3:$M$501,"=386")</f>
        <v>0</v>
      </c>
      <c r="T37" s="141">
        <f>SUMIFS('Plan rashoda za unos u SAP'!$I$3:$I$501,'Plan rashoda za unos u SAP'!$C$3:$C$501,"=81",'Plan rashoda za unos u SAP'!$M$3:$M$501,"=386")</f>
        <v>0</v>
      </c>
      <c r="U37" s="141">
        <f>SUMIFS('Plan rashoda za unos u SAP'!$I$3:$I$501,'Plan rashoda za unos u SAP'!$C$3:$C$501,"=83",'Plan rashoda za unos u SAP'!$M$3:$M$501,"=386")</f>
        <v>0</v>
      </c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  <c r="IW37" s="74"/>
      <c r="IX37" s="74"/>
      <c r="IY37" s="74"/>
      <c r="IZ37" s="74"/>
      <c r="JA37" s="74"/>
    </row>
    <row r="38" spans="1:261" s="22" customFormat="1" ht="12.6" customHeight="1">
      <c r="A38" s="128">
        <v>4</v>
      </c>
      <c r="B38" s="129" t="s">
        <v>229</v>
      </c>
      <c r="C38" s="127">
        <f t="shared" si="4"/>
        <v>39160409</v>
      </c>
      <c r="D38" s="127">
        <f>D42+D49+D51+D53+D39</f>
        <v>29740048</v>
      </c>
      <c r="E38" s="127">
        <f t="shared" ref="E38:U38" si="30">E42+E49+E51+E53+E39</f>
        <v>0</v>
      </c>
      <c r="F38" s="127">
        <f t="shared" si="30"/>
        <v>605000</v>
      </c>
      <c r="G38" s="127">
        <f t="shared" ref="G38" si="31">G42+G49+G51+G53+G39</f>
        <v>0</v>
      </c>
      <c r="H38" s="127">
        <f t="shared" si="30"/>
        <v>250000</v>
      </c>
      <c r="I38" s="127">
        <f t="shared" si="30"/>
        <v>0</v>
      </c>
      <c r="J38" s="127">
        <f t="shared" si="30"/>
        <v>3564361</v>
      </c>
      <c r="K38" s="127">
        <f t="shared" ref="K38" si="32">K42+K49+K51+K53+K39</f>
        <v>0</v>
      </c>
      <c r="L38" s="127">
        <f t="shared" si="30"/>
        <v>0</v>
      </c>
      <c r="M38" s="127">
        <f t="shared" si="30"/>
        <v>0</v>
      </c>
      <c r="N38" s="127">
        <f t="shared" si="30"/>
        <v>0</v>
      </c>
      <c r="O38" s="127">
        <f t="shared" ref="O38:P38" si="33">O42+O49+O51+O53+O39</f>
        <v>0</v>
      </c>
      <c r="P38" s="127">
        <f t="shared" si="33"/>
        <v>0</v>
      </c>
      <c r="Q38" s="127">
        <f t="shared" si="30"/>
        <v>5000000</v>
      </c>
      <c r="R38" s="127">
        <f t="shared" si="30"/>
        <v>0</v>
      </c>
      <c r="S38" s="127">
        <f t="shared" si="30"/>
        <v>1000</v>
      </c>
      <c r="T38" s="127">
        <f t="shared" si="30"/>
        <v>0</v>
      </c>
      <c r="U38" s="127">
        <f t="shared" si="30"/>
        <v>0</v>
      </c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  <c r="IW38" s="74"/>
      <c r="IX38" s="74"/>
      <c r="IY38" s="74"/>
      <c r="IZ38" s="74"/>
      <c r="JA38" s="74"/>
    </row>
    <row r="39" spans="1:261" s="14" customFormat="1" ht="12.6" customHeight="1">
      <c r="A39" s="11">
        <v>41</v>
      </c>
      <c r="B39" s="12" t="s">
        <v>362</v>
      </c>
      <c r="C39" s="4">
        <f t="shared" si="4"/>
        <v>150000</v>
      </c>
      <c r="D39" s="13">
        <f t="shared" ref="D39:U39" si="34">SUM(D40:D41)</f>
        <v>0</v>
      </c>
      <c r="E39" s="13">
        <f t="shared" si="34"/>
        <v>0</v>
      </c>
      <c r="F39" s="13">
        <f t="shared" si="34"/>
        <v>150000</v>
      </c>
      <c r="G39" s="13">
        <f t="shared" ref="G39" si="35">SUM(G40:G41)</f>
        <v>0</v>
      </c>
      <c r="H39" s="13">
        <f t="shared" si="34"/>
        <v>0</v>
      </c>
      <c r="I39" s="13">
        <f t="shared" si="34"/>
        <v>0</v>
      </c>
      <c r="J39" s="13">
        <f t="shared" si="34"/>
        <v>0</v>
      </c>
      <c r="K39" s="13">
        <f t="shared" ref="K39" si="36">SUM(K40:K41)</f>
        <v>0</v>
      </c>
      <c r="L39" s="13">
        <f t="shared" si="34"/>
        <v>0</v>
      </c>
      <c r="M39" s="13">
        <f t="shared" si="34"/>
        <v>0</v>
      </c>
      <c r="N39" s="13">
        <f t="shared" si="34"/>
        <v>0</v>
      </c>
      <c r="O39" s="13">
        <f t="shared" ref="O39:P39" si="37">SUM(O40:O41)</f>
        <v>0</v>
      </c>
      <c r="P39" s="13">
        <f t="shared" si="37"/>
        <v>0</v>
      </c>
      <c r="Q39" s="13">
        <f t="shared" si="34"/>
        <v>0</v>
      </c>
      <c r="R39" s="13">
        <f t="shared" si="34"/>
        <v>0</v>
      </c>
      <c r="S39" s="13">
        <f t="shared" si="34"/>
        <v>0</v>
      </c>
      <c r="T39" s="13">
        <f t="shared" si="34"/>
        <v>0</v>
      </c>
      <c r="U39" s="13">
        <f t="shared" si="34"/>
        <v>0</v>
      </c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80"/>
      <c r="GH39" s="80"/>
      <c r="GI39" s="80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</row>
    <row r="40" spans="1:261" s="14" customFormat="1" ht="12.6" customHeight="1">
      <c r="A40" s="82">
        <v>411</v>
      </c>
      <c r="B40" s="82" t="s">
        <v>363</v>
      </c>
      <c r="C40" s="15">
        <f t="shared" si="4"/>
        <v>0</v>
      </c>
      <c r="D40" s="141">
        <f>SUMIFS('Plan rashoda za unos u SAP'!$I$3:$I$501,'Plan rashoda za unos u SAP'!$C$3:$C$501,"=11",'Plan rashoda za unos u SAP'!$M$3:$M$501,"=411")</f>
        <v>0</v>
      </c>
      <c r="E40" s="141">
        <f>SUMIFS('Plan rashoda za unos u SAP'!$I$3:$I$501,'Plan rashoda za unos u SAP'!$C$3:$C$501,"=12",'Plan rashoda za unos u SAP'!$M$3:$M$501,"=411")</f>
        <v>0</v>
      </c>
      <c r="F40" s="141">
        <f>SUMIFS('Plan rashoda za unos u SAP'!$I$3:$I$501,'Plan rashoda za unos u SAP'!$C$3:$C$501,"=31",'Plan rashoda za unos u SAP'!$M$3:$M$501,"=411")</f>
        <v>0</v>
      </c>
      <c r="G40" s="141">
        <f>SUMIFS('Plan rashoda za unos u SAP'!$I$3:$I$501,'Plan rashoda za unos u SAP'!$C$3:$C$501,"=41",'Plan rashoda za unos u SAP'!$M$3:$M$501,"=411")</f>
        <v>0</v>
      </c>
      <c r="H40" s="141">
        <f>SUMIFS('Plan rashoda za unos u SAP'!$I$3:$I$501,'Plan rashoda za unos u SAP'!$C$3:$C$501,"=43",'Plan rashoda za unos u SAP'!$M$3:$M$501,"=411")</f>
        <v>0</v>
      </c>
      <c r="I40" s="141">
        <f>SUMIFS('Plan rashoda za unos u SAP'!$I$3:$I$501,'Plan rashoda za unos u SAP'!$C$3:$C$501,"=51",'Plan rashoda za unos u SAP'!$M$3:$M$501,"=411")</f>
        <v>0</v>
      </c>
      <c r="J40" s="141">
        <f>SUMIFS('Plan rashoda za unos u SAP'!$I$3:$I$501,'Plan rashoda za unos u SAP'!$C$3:$C$501,"=52",'Plan rashoda za unos u SAP'!$M$3:$M$501,"=411")</f>
        <v>0</v>
      </c>
      <c r="K40" s="141">
        <f>SUMIFS('Plan rashoda za unos u SAP'!$I$3:$I$501,'Plan rashoda za unos u SAP'!$C$3:$C$501,"=552",'Plan rashoda za unos u SAP'!$M$3:$M$501,"=411")</f>
        <v>0</v>
      </c>
      <c r="L40" s="141">
        <f>SUMIFS('Plan rashoda za unos u SAP'!$I$3:$I$501,'Plan rashoda za unos u SAP'!$C$3:$C$501,"=559",'Plan rashoda za unos u SAP'!$M$3:$M$501,"=411")</f>
        <v>0</v>
      </c>
      <c r="M40" s="141">
        <f>SUMIFS('Plan rashoda za unos u SAP'!$I$3:$I$501,'Plan rashoda za unos u SAP'!$C$3:$C$501,"=561",'Plan rashoda za unos u SAP'!$M$3:$M$501,"=411")</f>
        <v>0</v>
      </c>
      <c r="N40" s="141">
        <f>SUMIFS('Plan rashoda za unos u SAP'!$I$3:$I$501,'Plan rashoda za unos u SAP'!$C$3:$C$501,"=563",'Plan rashoda za unos u SAP'!$M$3:$M$501,"=411")</f>
        <v>0</v>
      </c>
      <c r="O40" s="141">
        <f>SUMIFS('Plan rashoda za unos u SAP'!$I$3:$I$501,'Plan rashoda za unos u SAP'!$C$3:$C$501,"=573",'Plan rashoda za unos u SAP'!$M$3:$M$501,"=411")</f>
        <v>0</v>
      </c>
      <c r="P40" s="141">
        <f>SUMIFS('Plan rashoda za unos u SAP'!$I$3:$I$501,'Plan rashoda za unos u SAP'!$C$3:$C$501,"=575",'Plan rashoda za unos u SAP'!$M$3:$M$501,"=411")</f>
        <v>0</v>
      </c>
      <c r="Q40" s="141">
        <f>SUMIFS('Plan rashoda za unos u SAP'!$I$3:$I$501,'Plan rashoda za unos u SAP'!$C$3:$C$501,"=61",'Plan rashoda za unos u SAP'!$M$3:$M$501,"=411")</f>
        <v>0</v>
      </c>
      <c r="R40" s="141">
        <f>SUMIFS('Plan rashoda za unos u SAP'!$I$3:$I$501,'Plan rashoda za unos u SAP'!$C$3:$C$501,"=63",'Plan rashoda za unos u SAP'!$M$3:$M$501,"=411")</f>
        <v>0</v>
      </c>
      <c r="S40" s="141">
        <f>SUMIFS('Plan rashoda za unos u SAP'!$I$3:$I$501,'Plan rashoda za unos u SAP'!$C$3:$C$501,"=71",'Plan rashoda za unos u SAP'!$M$3:$M$501,"=411")</f>
        <v>0</v>
      </c>
      <c r="T40" s="141">
        <f>SUMIFS('Plan rashoda za unos u SAP'!$I$3:$I$501,'Plan rashoda za unos u SAP'!$C$3:$C$501,"=81",'Plan rashoda za unos u SAP'!$M$3:$M$501,"=411")</f>
        <v>0</v>
      </c>
      <c r="U40" s="141">
        <f>SUMIFS('Plan rashoda za unos u SAP'!$I$3:$I$501,'Plan rashoda za unos u SAP'!$C$3:$C$501,"=83",'Plan rashoda za unos u SAP'!$M$3:$M$501,"=411")</f>
        <v>0</v>
      </c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  <c r="IW40" s="74"/>
      <c r="IX40" s="74"/>
      <c r="IY40" s="74"/>
      <c r="IZ40" s="74"/>
      <c r="JA40" s="74"/>
    </row>
    <row r="41" spans="1:261" s="14" customFormat="1" ht="12.6" customHeight="1">
      <c r="A41" s="83">
        <v>412</v>
      </c>
      <c r="B41" s="9" t="s">
        <v>364</v>
      </c>
      <c r="C41" s="15">
        <f t="shared" si="4"/>
        <v>150000</v>
      </c>
      <c r="D41" s="141">
        <f>SUMIFS('Plan rashoda za unos u SAP'!$I$3:$I$501,'Plan rashoda za unos u SAP'!$C$3:$C$501,"=11",'Plan rashoda za unos u SAP'!$M$3:$M$501,"=412")</f>
        <v>0</v>
      </c>
      <c r="E41" s="141">
        <f>SUMIFS('Plan rashoda za unos u SAP'!$I$3:$I$501,'Plan rashoda za unos u SAP'!$C$3:$C$501,"=12",'Plan rashoda za unos u SAP'!$M$3:$M$501,"=412")</f>
        <v>0</v>
      </c>
      <c r="F41" s="141">
        <f>SUMIFS('Plan rashoda za unos u SAP'!$I$3:$I$501,'Plan rashoda za unos u SAP'!$C$3:$C$501,"=31",'Plan rashoda za unos u SAP'!$M$3:$M$501,"=412")</f>
        <v>150000</v>
      </c>
      <c r="G41" s="141">
        <f>SUMIFS('Plan rashoda za unos u SAP'!$I$3:$I$501,'Plan rashoda za unos u SAP'!$C$3:$C$501,"=41",'Plan rashoda za unos u SAP'!$M$3:$M$501,"=412")</f>
        <v>0</v>
      </c>
      <c r="H41" s="141">
        <f>SUMIFS('Plan rashoda za unos u SAP'!$I$3:$I$501,'Plan rashoda za unos u SAP'!$C$3:$C$501,"=43",'Plan rashoda za unos u SAP'!$M$3:$M$501,"=412")</f>
        <v>0</v>
      </c>
      <c r="I41" s="141">
        <f>SUMIFS('Plan rashoda za unos u SAP'!$I$3:$I$501,'Plan rashoda za unos u SAP'!$C$3:$C$501,"=51",'Plan rashoda za unos u SAP'!$M$3:$M$501,"=412")</f>
        <v>0</v>
      </c>
      <c r="J41" s="141">
        <f>SUMIFS('Plan rashoda za unos u SAP'!$I$3:$I$501,'Plan rashoda za unos u SAP'!$C$3:$C$501,"=52",'Plan rashoda za unos u SAP'!$M$3:$M$501,"=412")</f>
        <v>0</v>
      </c>
      <c r="K41" s="141">
        <f>SUMIFS('Plan rashoda za unos u SAP'!$I$3:$I$501,'Plan rashoda za unos u SAP'!$C$3:$C$501,"=552",'Plan rashoda za unos u SAP'!$M$3:$M$501,"=412")</f>
        <v>0</v>
      </c>
      <c r="L41" s="141">
        <f>SUMIFS('Plan rashoda za unos u SAP'!$I$3:$I$501,'Plan rashoda za unos u SAP'!$C$3:$C$501,"=559",'Plan rashoda za unos u SAP'!$M$3:$M$501,"=412")</f>
        <v>0</v>
      </c>
      <c r="M41" s="141">
        <f>SUMIFS('Plan rashoda za unos u SAP'!$I$3:$I$501,'Plan rashoda za unos u SAP'!$C$3:$C$501,"=561",'Plan rashoda za unos u SAP'!$M$3:$M$501,"=412")</f>
        <v>0</v>
      </c>
      <c r="N41" s="141">
        <f>SUMIFS('Plan rashoda za unos u SAP'!$I$3:$I$501,'Plan rashoda za unos u SAP'!$C$3:$C$501,"=563",'Plan rashoda za unos u SAP'!$M$3:$M$501,"=412")</f>
        <v>0</v>
      </c>
      <c r="O41" s="141">
        <f>SUMIFS('Plan rashoda za unos u SAP'!$I$3:$I$501,'Plan rashoda za unos u SAP'!$C$3:$C$501,"=573",'Plan rashoda za unos u SAP'!$M$3:$M$501,"=412")</f>
        <v>0</v>
      </c>
      <c r="P41" s="141">
        <f>SUMIFS('Plan rashoda za unos u SAP'!$I$3:$I$501,'Plan rashoda za unos u SAP'!$C$3:$C$501,"=575",'Plan rashoda za unos u SAP'!$M$3:$M$501,"=412")</f>
        <v>0</v>
      </c>
      <c r="Q41" s="141">
        <f>SUMIFS('Plan rashoda za unos u SAP'!$I$3:$I$501,'Plan rashoda za unos u SAP'!$C$3:$C$501,"=61",'Plan rashoda za unos u SAP'!$M$3:$M$501,"=412")</f>
        <v>0</v>
      </c>
      <c r="R41" s="141">
        <f>SUMIFS('Plan rashoda za unos u SAP'!$I$3:$I$501,'Plan rashoda za unos u SAP'!$C$3:$C$501,"=63",'Plan rashoda za unos u SAP'!$M$3:$M$501,"=412")</f>
        <v>0</v>
      </c>
      <c r="S41" s="141">
        <f>SUMIFS('Plan rashoda za unos u SAP'!$I$3:$I$501,'Plan rashoda za unos u SAP'!$C$3:$C$501,"=71",'Plan rashoda za unos u SAP'!$M$3:$M$501,"=412")</f>
        <v>0</v>
      </c>
      <c r="T41" s="141">
        <f>SUMIFS('Plan rashoda za unos u SAP'!$I$3:$I$501,'Plan rashoda za unos u SAP'!$C$3:$C$501,"=81",'Plan rashoda za unos u SAP'!$M$3:$M$501,"=412")</f>
        <v>0</v>
      </c>
      <c r="U41" s="141">
        <f>SUMIFS('Plan rashoda za unos u SAP'!$I$3:$I$501,'Plan rashoda za unos u SAP'!$C$3:$C$501,"=83",'Plan rashoda za unos u SAP'!$M$3:$M$501,"=412")</f>
        <v>0</v>
      </c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  <c r="IW41" s="74"/>
      <c r="IX41" s="74"/>
      <c r="IY41" s="74"/>
      <c r="IZ41" s="74"/>
      <c r="JA41" s="74"/>
    </row>
    <row r="42" spans="1:261" s="21" customFormat="1" ht="12.6" customHeight="1">
      <c r="A42" s="85">
        <v>42</v>
      </c>
      <c r="B42" s="16" t="s">
        <v>283</v>
      </c>
      <c r="C42" s="4">
        <f t="shared" si="4"/>
        <v>9898565</v>
      </c>
      <c r="D42" s="4">
        <f t="shared" ref="D42:U42" si="38">SUM(D43:D48)</f>
        <v>4172565</v>
      </c>
      <c r="E42" s="4">
        <f t="shared" si="38"/>
        <v>0</v>
      </c>
      <c r="F42" s="4">
        <f t="shared" si="38"/>
        <v>455000</v>
      </c>
      <c r="G42" s="4">
        <f t="shared" ref="G42" si="39">SUM(G43:G48)</f>
        <v>0</v>
      </c>
      <c r="H42" s="4">
        <f t="shared" si="38"/>
        <v>250000</v>
      </c>
      <c r="I42" s="4">
        <f t="shared" si="38"/>
        <v>0</v>
      </c>
      <c r="J42" s="4">
        <f t="shared" si="38"/>
        <v>20000</v>
      </c>
      <c r="K42" s="4">
        <f t="shared" ref="K42" si="40">SUM(K43:K48)</f>
        <v>0</v>
      </c>
      <c r="L42" s="4">
        <f t="shared" si="38"/>
        <v>0</v>
      </c>
      <c r="M42" s="4">
        <f t="shared" si="38"/>
        <v>0</v>
      </c>
      <c r="N42" s="4">
        <f t="shared" si="38"/>
        <v>0</v>
      </c>
      <c r="O42" s="4">
        <f t="shared" ref="O42:P42" si="41">SUM(O43:O48)</f>
        <v>0</v>
      </c>
      <c r="P42" s="4">
        <f t="shared" si="41"/>
        <v>0</v>
      </c>
      <c r="Q42" s="4">
        <f t="shared" si="38"/>
        <v>5000000</v>
      </c>
      <c r="R42" s="4">
        <f t="shared" si="38"/>
        <v>0</v>
      </c>
      <c r="S42" s="4">
        <f t="shared" si="38"/>
        <v>1000</v>
      </c>
      <c r="T42" s="4">
        <f t="shared" si="38"/>
        <v>0</v>
      </c>
      <c r="U42" s="4">
        <f t="shared" si="38"/>
        <v>0</v>
      </c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</row>
    <row r="43" spans="1:261" s="22" customFormat="1" ht="12.6" customHeight="1">
      <c r="A43" s="83">
        <v>421</v>
      </c>
      <c r="B43" s="9" t="s">
        <v>230</v>
      </c>
      <c r="C43" s="15">
        <f t="shared" si="4"/>
        <v>0</v>
      </c>
      <c r="D43" s="141">
        <f>SUMIFS('Plan rashoda za unos u SAP'!$I$3:$I$501,'Plan rashoda za unos u SAP'!$C$3:$C$501,"=11",'Plan rashoda za unos u SAP'!$M$3:$M$501,"=421")</f>
        <v>0</v>
      </c>
      <c r="E43" s="141">
        <f>SUMIFS('Plan rashoda za unos u SAP'!$I$3:$I$501,'Plan rashoda za unos u SAP'!$C$3:$C$501,"=12",'Plan rashoda za unos u SAP'!$M$3:$M$501,"=421")</f>
        <v>0</v>
      </c>
      <c r="F43" s="141">
        <f>SUMIFS('Plan rashoda za unos u SAP'!$I$3:$I$501,'Plan rashoda za unos u SAP'!$C$3:$C$501,"=31",'Plan rashoda za unos u SAP'!$M$3:$M$501,"=421")</f>
        <v>0</v>
      </c>
      <c r="G43" s="141">
        <f>SUMIFS('Plan rashoda za unos u SAP'!$I$3:$I$501,'Plan rashoda za unos u SAP'!$C$3:$C$501,"=41",'Plan rashoda za unos u SAP'!$M$3:$M$501,"=421")</f>
        <v>0</v>
      </c>
      <c r="H43" s="141">
        <f>SUMIFS('Plan rashoda za unos u SAP'!$I$3:$I$501,'Plan rashoda za unos u SAP'!$C$3:$C$501,"=43",'Plan rashoda za unos u SAP'!$M$3:$M$501,"=421")</f>
        <v>0</v>
      </c>
      <c r="I43" s="141">
        <f>SUMIFS('Plan rashoda za unos u SAP'!$I$3:$I$501,'Plan rashoda za unos u SAP'!$C$3:$C$501,"=51",'Plan rashoda za unos u SAP'!$M$3:$M$501,"=421")</f>
        <v>0</v>
      </c>
      <c r="J43" s="141">
        <f>SUMIFS('Plan rashoda za unos u SAP'!$I$3:$I$501,'Plan rashoda za unos u SAP'!$C$3:$C$501,"=52",'Plan rashoda za unos u SAP'!$M$3:$M$501,"=421")</f>
        <v>0</v>
      </c>
      <c r="K43" s="141">
        <f>SUMIFS('Plan rashoda za unos u SAP'!$I$3:$I$501,'Plan rashoda za unos u SAP'!$C$3:$C$501,"=552",'Plan rashoda za unos u SAP'!$M$3:$M$501,"=421")</f>
        <v>0</v>
      </c>
      <c r="L43" s="141">
        <f>SUMIFS('Plan rashoda za unos u SAP'!$I$3:$I$501,'Plan rashoda za unos u SAP'!$C$3:$C$501,"=559",'Plan rashoda za unos u SAP'!$M$3:$M$501,"=421")</f>
        <v>0</v>
      </c>
      <c r="M43" s="141">
        <f>SUMIFS('Plan rashoda za unos u SAP'!$I$3:$I$501,'Plan rashoda za unos u SAP'!$C$3:$C$501,"=561",'Plan rashoda za unos u SAP'!$M$3:$M$501,"=421")</f>
        <v>0</v>
      </c>
      <c r="N43" s="141">
        <f>SUMIFS('Plan rashoda za unos u SAP'!$I$3:$I$501,'Plan rashoda za unos u SAP'!$C$3:$C$501,"=563",'Plan rashoda za unos u SAP'!$M$3:$M$501,"=421")</f>
        <v>0</v>
      </c>
      <c r="O43" s="141">
        <f>SUMIFS('Plan rashoda za unos u SAP'!$I$3:$I$501,'Plan rashoda za unos u SAP'!$C$3:$C$501,"=573",'Plan rashoda za unos u SAP'!$M$3:$M$501,"=421")</f>
        <v>0</v>
      </c>
      <c r="P43" s="141">
        <f>SUMIFS('Plan rashoda za unos u SAP'!$I$3:$I$501,'Plan rashoda za unos u SAP'!$C$3:$C$501,"=575",'Plan rashoda za unos u SAP'!$M$3:$M$501,"=421")</f>
        <v>0</v>
      </c>
      <c r="Q43" s="141">
        <f>SUMIFS('Plan rashoda za unos u SAP'!$I$3:$I$501,'Plan rashoda za unos u SAP'!$C$3:$C$501,"=61",'Plan rashoda za unos u SAP'!$M$3:$M$501,"=421")</f>
        <v>0</v>
      </c>
      <c r="R43" s="141">
        <f>SUMIFS('Plan rashoda za unos u SAP'!$I$3:$I$501,'Plan rashoda za unos u SAP'!$C$3:$C$501,"=63",'Plan rashoda za unos u SAP'!$M$3:$M$501,"=421")</f>
        <v>0</v>
      </c>
      <c r="S43" s="141">
        <f>SUMIFS('Plan rashoda za unos u SAP'!$I$3:$I$501,'Plan rashoda za unos u SAP'!$C$3:$C$501,"=71",'Plan rashoda za unos u SAP'!$M$3:$M$501,"=421")</f>
        <v>0</v>
      </c>
      <c r="T43" s="141">
        <f>SUMIFS('Plan rashoda za unos u SAP'!$I$3:$I$501,'Plan rashoda za unos u SAP'!$C$3:$C$501,"=81",'Plan rashoda za unos u SAP'!$M$3:$M$501,"=421")</f>
        <v>0</v>
      </c>
      <c r="U43" s="141">
        <f>SUMIFS('Plan rashoda za unos u SAP'!$I$3:$I$501,'Plan rashoda za unos u SAP'!$C$3:$C$501,"=83",'Plan rashoda za unos u SAP'!$M$3:$M$501,"=421")</f>
        <v>0</v>
      </c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  <c r="IW43" s="74"/>
      <c r="IX43" s="74"/>
      <c r="IY43" s="74"/>
      <c r="IZ43" s="74"/>
      <c r="JA43" s="74"/>
    </row>
    <row r="44" spans="1:261" s="22" customFormat="1" ht="12.6" customHeight="1">
      <c r="A44" s="83">
        <v>422</v>
      </c>
      <c r="B44" s="9" t="s">
        <v>231</v>
      </c>
      <c r="C44" s="15">
        <f t="shared" si="4"/>
        <v>4504402</v>
      </c>
      <c r="D44" s="141">
        <f>SUMIFS('Plan rashoda za unos u SAP'!$I$3:$I$501,'Plan rashoda za unos u SAP'!$C$3:$C$501,"=11",'Plan rashoda za unos u SAP'!$M$3:$M$501,"=422")</f>
        <v>3954402</v>
      </c>
      <c r="E44" s="141">
        <f>SUMIFS('Plan rashoda za unos u SAP'!$I$3:$I$501,'Plan rashoda za unos u SAP'!$C$3:$C$501,"=12",'Plan rashoda za unos u SAP'!$M$3:$M$501,"=422")</f>
        <v>0</v>
      </c>
      <c r="F44" s="141">
        <f>SUMIFS('Plan rashoda za unos u SAP'!$I$3:$I$501,'Plan rashoda za unos u SAP'!$C$3:$C$501,"=31",'Plan rashoda za unos u SAP'!$M$3:$M$501,"=422")</f>
        <v>280000</v>
      </c>
      <c r="G44" s="141">
        <f>SUMIFS('Plan rashoda za unos u SAP'!$I$3:$I$501,'Plan rashoda za unos u SAP'!$C$3:$C$501,"=41",'Plan rashoda za unos u SAP'!$M$3:$M$501,"=422")</f>
        <v>0</v>
      </c>
      <c r="H44" s="141">
        <f>SUMIFS('Plan rashoda za unos u SAP'!$I$3:$I$501,'Plan rashoda za unos u SAP'!$C$3:$C$501,"=43",'Plan rashoda za unos u SAP'!$M$3:$M$501,"=422")</f>
        <v>250000</v>
      </c>
      <c r="I44" s="141">
        <f>SUMIFS('Plan rashoda za unos u SAP'!$I$3:$I$501,'Plan rashoda za unos u SAP'!$C$3:$C$501,"=51",'Plan rashoda za unos u SAP'!$M$3:$M$501,"=422")</f>
        <v>0</v>
      </c>
      <c r="J44" s="141">
        <f>SUMIFS('Plan rashoda za unos u SAP'!$I$3:$I$501,'Plan rashoda za unos u SAP'!$C$3:$C$501,"=52",'Plan rashoda za unos u SAP'!$M$3:$M$501,"=422")</f>
        <v>20000</v>
      </c>
      <c r="K44" s="141">
        <f>SUMIFS('Plan rashoda za unos u SAP'!$I$3:$I$501,'Plan rashoda za unos u SAP'!$C$3:$C$501,"=552",'Plan rashoda za unos u SAP'!$M$3:$M$501,"=422")</f>
        <v>0</v>
      </c>
      <c r="L44" s="141">
        <f>SUMIFS('Plan rashoda za unos u SAP'!$I$3:$I$501,'Plan rashoda za unos u SAP'!$C$3:$C$501,"=559",'Plan rashoda za unos u SAP'!$M$3:$M$501,"=422")</f>
        <v>0</v>
      </c>
      <c r="M44" s="141">
        <f>SUMIFS('Plan rashoda za unos u SAP'!$I$3:$I$501,'Plan rashoda za unos u SAP'!$C$3:$C$501,"=561",'Plan rashoda za unos u SAP'!$M$3:$M$501,"=422")</f>
        <v>0</v>
      </c>
      <c r="N44" s="141">
        <f>SUMIFS('Plan rashoda za unos u SAP'!$I$3:$I$501,'Plan rashoda za unos u SAP'!$C$3:$C$501,"=563",'Plan rashoda za unos u SAP'!$M$3:$M$501,"=422")</f>
        <v>0</v>
      </c>
      <c r="O44" s="141">
        <f>SUMIFS('Plan rashoda za unos u SAP'!$I$3:$I$501,'Plan rashoda za unos u SAP'!$C$3:$C$501,"=573",'Plan rashoda za unos u SAP'!$M$3:$M$501,"=422")</f>
        <v>0</v>
      </c>
      <c r="P44" s="141">
        <f>SUMIFS('Plan rashoda za unos u SAP'!$I$3:$I$501,'Plan rashoda za unos u SAP'!$C$3:$C$501,"=575",'Plan rashoda za unos u SAP'!$M$3:$M$501,"=422")</f>
        <v>0</v>
      </c>
      <c r="Q44" s="141">
        <f>SUMIFS('Plan rashoda za unos u SAP'!$I$3:$I$501,'Plan rashoda za unos u SAP'!$C$3:$C$501,"=61",'Plan rashoda za unos u SAP'!$M$3:$M$501,"=422")</f>
        <v>0</v>
      </c>
      <c r="R44" s="141">
        <f>SUMIFS('Plan rashoda za unos u SAP'!$I$3:$I$501,'Plan rashoda za unos u SAP'!$C$3:$C$501,"=63",'Plan rashoda za unos u SAP'!$M$3:$M$501,"=422")</f>
        <v>0</v>
      </c>
      <c r="S44" s="141">
        <f>SUMIFS('Plan rashoda za unos u SAP'!$I$3:$I$501,'Plan rashoda za unos u SAP'!$C$3:$C$501,"=71",'Plan rashoda za unos u SAP'!$M$3:$M$501,"=422")</f>
        <v>0</v>
      </c>
      <c r="T44" s="141">
        <f>SUMIFS('Plan rashoda za unos u SAP'!$I$3:$I$501,'Plan rashoda za unos u SAP'!$C$3:$C$501,"=81",'Plan rashoda za unos u SAP'!$M$3:$M$501,"=422")</f>
        <v>0</v>
      </c>
      <c r="U44" s="141">
        <f>SUMIFS('Plan rashoda za unos u SAP'!$I$3:$I$501,'Plan rashoda za unos u SAP'!$C$3:$C$501,"=83",'Plan rashoda za unos u SAP'!$M$3:$M$501,"=422")</f>
        <v>0</v>
      </c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  <c r="IW44" s="74"/>
      <c r="IX44" s="74"/>
      <c r="IY44" s="74"/>
      <c r="IZ44" s="74"/>
      <c r="JA44" s="74"/>
    </row>
    <row r="45" spans="1:261" s="22" customFormat="1" ht="12.6" customHeight="1">
      <c r="A45" s="84">
        <v>423</v>
      </c>
      <c r="B45" s="9" t="s">
        <v>232</v>
      </c>
      <c r="C45" s="15">
        <f t="shared" si="4"/>
        <v>0</v>
      </c>
      <c r="D45" s="141">
        <f>SUMIFS('Plan rashoda za unos u SAP'!$I$3:$I$501,'Plan rashoda za unos u SAP'!$C$3:$C$501,"=11",'Plan rashoda za unos u SAP'!$M$3:$M$501,"=423")</f>
        <v>0</v>
      </c>
      <c r="E45" s="141">
        <f>SUMIFS('Plan rashoda za unos u SAP'!$I$3:$I$501,'Plan rashoda za unos u SAP'!$C$3:$C$501,"=12",'Plan rashoda za unos u SAP'!$M$3:$M$501,"=423")</f>
        <v>0</v>
      </c>
      <c r="F45" s="141">
        <f>SUMIFS('Plan rashoda za unos u SAP'!$I$3:$I$501,'Plan rashoda za unos u SAP'!$C$3:$C$501,"=31",'Plan rashoda za unos u SAP'!$M$3:$M$501,"=423")</f>
        <v>0</v>
      </c>
      <c r="G45" s="141">
        <f>SUMIFS('Plan rashoda za unos u SAP'!$I$3:$I$501,'Plan rashoda za unos u SAP'!$C$3:$C$501,"=41",'Plan rashoda za unos u SAP'!$M$3:$M$501,"=423")</f>
        <v>0</v>
      </c>
      <c r="H45" s="141">
        <f>SUMIFS('Plan rashoda za unos u SAP'!$I$3:$I$501,'Plan rashoda za unos u SAP'!$C$3:$C$501,"=43",'Plan rashoda za unos u SAP'!$M$3:$M$501,"=423")</f>
        <v>0</v>
      </c>
      <c r="I45" s="141">
        <f>SUMIFS('Plan rashoda za unos u SAP'!$I$3:$I$501,'Plan rashoda za unos u SAP'!$C$3:$C$501,"=51",'Plan rashoda za unos u SAP'!$M$3:$M$501,"=423")</f>
        <v>0</v>
      </c>
      <c r="J45" s="141">
        <f>SUMIFS('Plan rashoda za unos u SAP'!$I$3:$I$501,'Plan rashoda za unos u SAP'!$C$3:$C$501,"=52",'Plan rashoda za unos u SAP'!$M$3:$M$501,"=423")</f>
        <v>0</v>
      </c>
      <c r="K45" s="141">
        <f>SUMIFS('Plan rashoda za unos u SAP'!$I$3:$I$501,'Plan rashoda za unos u SAP'!$C$3:$C$501,"=552",'Plan rashoda za unos u SAP'!$M$3:$M$501,"=423")</f>
        <v>0</v>
      </c>
      <c r="L45" s="141">
        <f>SUMIFS('Plan rashoda za unos u SAP'!$I$3:$I$501,'Plan rashoda za unos u SAP'!$C$3:$C$501,"=559",'Plan rashoda za unos u SAP'!$M$3:$M$501,"=423")</f>
        <v>0</v>
      </c>
      <c r="M45" s="141">
        <f>SUMIFS('Plan rashoda za unos u SAP'!$I$3:$I$501,'Plan rashoda za unos u SAP'!$C$3:$C$501,"=561",'Plan rashoda za unos u SAP'!$M$3:$M$501,"=423")</f>
        <v>0</v>
      </c>
      <c r="N45" s="141">
        <f>SUMIFS('Plan rashoda za unos u SAP'!$I$3:$I$501,'Plan rashoda za unos u SAP'!$C$3:$C$501,"=563",'Plan rashoda za unos u SAP'!$M$3:$M$501,"=423")</f>
        <v>0</v>
      </c>
      <c r="O45" s="141">
        <f>SUMIFS('Plan rashoda za unos u SAP'!$I$3:$I$501,'Plan rashoda za unos u SAP'!$C$3:$C$501,"=573",'Plan rashoda za unos u SAP'!$M$3:$M$501,"=423")</f>
        <v>0</v>
      </c>
      <c r="P45" s="141">
        <f>SUMIFS('Plan rashoda za unos u SAP'!$I$3:$I$501,'Plan rashoda za unos u SAP'!$C$3:$C$501,"=575",'Plan rashoda za unos u SAP'!$M$3:$M$501,"=423")</f>
        <v>0</v>
      </c>
      <c r="Q45" s="141">
        <f>SUMIFS('Plan rashoda za unos u SAP'!$I$3:$I$501,'Plan rashoda za unos u SAP'!$C$3:$C$501,"=61",'Plan rashoda za unos u SAP'!$M$3:$M$501,"=423")</f>
        <v>0</v>
      </c>
      <c r="R45" s="141">
        <f>SUMIFS('Plan rashoda za unos u SAP'!$I$3:$I$501,'Plan rashoda za unos u SAP'!$C$3:$C$501,"=63",'Plan rashoda za unos u SAP'!$M$3:$M$501,"=423")</f>
        <v>0</v>
      </c>
      <c r="S45" s="141">
        <f>SUMIFS('Plan rashoda za unos u SAP'!$I$3:$I$501,'Plan rashoda za unos u SAP'!$C$3:$C$501,"=71",'Plan rashoda za unos u SAP'!$M$3:$M$501,"=423")</f>
        <v>0</v>
      </c>
      <c r="T45" s="141">
        <f>SUMIFS('Plan rashoda za unos u SAP'!$I$3:$I$501,'Plan rashoda za unos u SAP'!$C$3:$C$501,"=81",'Plan rashoda za unos u SAP'!$M$3:$M$501,"=423")</f>
        <v>0</v>
      </c>
      <c r="U45" s="141">
        <f>SUMIFS('Plan rashoda za unos u SAP'!$I$3:$I$501,'Plan rashoda za unos u SAP'!$C$3:$C$501,"=83",'Plan rashoda za unos u SAP'!$M$3:$M$501,"=423")</f>
        <v>0</v>
      </c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  <c r="IW45" s="74"/>
      <c r="IX45" s="74"/>
      <c r="IY45" s="74"/>
      <c r="IZ45" s="74"/>
      <c r="JA45" s="74"/>
    </row>
    <row r="46" spans="1:261" s="22" customFormat="1" ht="12.6" customHeight="1">
      <c r="A46" s="84">
        <v>424</v>
      </c>
      <c r="B46" s="88" t="s">
        <v>233</v>
      </c>
      <c r="C46" s="15">
        <f t="shared" si="4"/>
        <v>5319163</v>
      </c>
      <c r="D46" s="141">
        <f>SUMIFS('Plan rashoda za unos u SAP'!$I$3:$I$501,'Plan rashoda za unos u SAP'!$C$3:$C$501,"=11",'Plan rashoda za unos u SAP'!$M$3:$M$501,"=424")</f>
        <v>218163</v>
      </c>
      <c r="E46" s="141">
        <f>SUMIFS('Plan rashoda za unos u SAP'!$I$3:$I$501,'Plan rashoda za unos u SAP'!$C$3:$C$501,"=12",'Plan rashoda za unos u SAP'!$M$3:$M$501,"=424")</f>
        <v>0</v>
      </c>
      <c r="F46" s="141">
        <f>SUMIFS('Plan rashoda za unos u SAP'!$I$3:$I$501,'Plan rashoda za unos u SAP'!$C$3:$C$501,"=31",'Plan rashoda za unos u SAP'!$M$3:$M$501,"=424")</f>
        <v>100000</v>
      </c>
      <c r="G46" s="141">
        <f>SUMIFS('Plan rashoda za unos u SAP'!$I$3:$I$501,'Plan rashoda za unos u SAP'!$C$3:$C$501,"=41",'Plan rashoda za unos u SAP'!$M$3:$M$501,"=424")</f>
        <v>0</v>
      </c>
      <c r="H46" s="141">
        <f>SUMIFS('Plan rashoda za unos u SAP'!$I$3:$I$501,'Plan rashoda za unos u SAP'!$C$3:$C$501,"=43",'Plan rashoda za unos u SAP'!$M$3:$M$501,"=424")</f>
        <v>0</v>
      </c>
      <c r="I46" s="141">
        <f>SUMIFS('Plan rashoda za unos u SAP'!$I$3:$I$501,'Plan rashoda za unos u SAP'!$C$3:$C$501,"=51",'Plan rashoda za unos u SAP'!$M$3:$M$501,"=424")</f>
        <v>0</v>
      </c>
      <c r="J46" s="141">
        <f>SUMIFS('Plan rashoda za unos u SAP'!$I$3:$I$501,'Plan rashoda za unos u SAP'!$C$3:$C$501,"=52",'Plan rashoda za unos u SAP'!$M$3:$M$501,"=424")</f>
        <v>0</v>
      </c>
      <c r="K46" s="141">
        <f>SUMIFS('Plan rashoda za unos u SAP'!$I$3:$I$501,'Plan rashoda za unos u SAP'!$C$3:$C$501,"=552",'Plan rashoda za unos u SAP'!$M$3:$M$501,"=424")</f>
        <v>0</v>
      </c>
      <c r="L46" s="141">
        <f>SUMIFS('Plan rashoda za unos u SAP'!$I$3:$I$501,'Plan rashoda za unos u SAP'!$C$3:$C$501,"=559",'Plan rashoda za unos u SAP'!$M$3:$M$501,"=424")</f>
        <v>0</v>
      </c>
      <c r="M46" s="141">
        <f>SUMIFS('Plan rashoda za unos u SAP'!$I$3:$I$501,'Plan rashoda za unos u SAP'!$C$3:$C$501,"=561",'Plan rashoda za unos u SAP'!$M$3:$M$501,"=424")</f>
        <v>0</v>
      </c>
      <c r="N46" s="141">
        <f>SUMIFS('Plan rashoda za unos u SAP'!$I$3:$I$501,'Plan rashoda za unos u SAP'!$C$3:$C$501,"=563",'Plan rashoda za unos u SAP'!$M$3:$M$501,"=424")</f>
        <v>0</v>
      </c>
      <c r="O46" s="141">
        <f>SUMIFS('Plan rashoda za unos u SAP'!$I$3:$I$501,'Plan rashoda za unos u SAP'!$C$3:$C$501,"=573",'Plan rashoda za unos u SAP'!$M$3:$M$501,"=424")</f>
        <v>0</v>
      </c>
      <c r="P46" s="141">
        <f>SUMIFS('Plan rashoda za unos u SAP'!$I$3:$I$501,'Plan rashoda za unos u SAP'!$C$3:$C$501,"=575",'Plan rashoda za unos u SAP'!$M$3:$M$501,"=424")</f>
        <v>0</v>
      </c>
      <c r="Q46" s="141">
        <f>SUMIFS('Plan rashoda za unos u SAP'!$I$3:$I$501,'Plan rashoda za unos u SAP'!$C$3:$C$501,"=61",'Plan rashoda za unos u SAP'!$M$3:$M$501,"=424")</f>
        <v>5000000</v>
      </c>
      <c r="R46" s="141">
        <f>SUMIFS('Plan rashoda za unos u SAP'!$I$3:$I$501,'Plan rashoda za unos u SAP'!$C$3:$C$501,"=63",'Plan rashoda za unos u SAP'!$M$3:$M$501,"=424")</f>
        <v>0</v>
      </c>
      <c r="S46" s="141">
        <f>SUMIFS('Plan rashoda za unos u SAP'!$I$3:$I$501,'Plan rashoda za unos u SAP'!$C$3:$C$501,"=71",'Plan rashoda za unos u SAP'!$M$3:$M$501,"=424")</f>
        <v>1000</v>
      </c>
      <c r="T46" s="141">
        <f>SUMIFS('Plan rashoda za unos u SAP'!$I$3:$I$501,'Plan rashoda za unos u SAP'!$C$3:$C$501,"=81",'Plan rashoda za unos u SAP'!$M$3:$M$501,"=424")</f>
        <v>0</v>
      </c>
      <c r="U46" s="141">
        <f>SUMIFS('Plan rashoda za unos u SAP'!$I$3:$I$501,'Plan rashoda za unos u SAP'!$C$3:$C$501,"=83",'Plan rashoda za unos u SAP'!$M$3:$M$501,"=424")</f>
        <v>0</v>
      </c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  <c r="IW46" s="74"/>
      <c r="IX46" s="74"/>
      <c r="IY46" s="74"/>
      <c r="IZ46" s="74"/>
      <c r="JA46" s="74"/>
    </row>
    <row r="47" spans="1:261" s="22" customFormat="1" ht="12.6" customHeight="1">
      <c r="A47" s="84">
        <v>425</v>
      </c>
      <c r="B47" s="88" t="s">
        <v>365</v>
      </c>
      <c r="C47" s="15">
        <f t="shared" si="4"/>
        <v>0</v>
      </c>
      <c r="D47" s="141">
        <f>SUMIFS('Plan rashoda za unos u SAP'!$I$3:$I$501,'Plan rashoda za unos u SAP'!$C$3:$C$501,"=11",'Plan rashoda za unos u SAP'!$M$3:$M$501,"=425")</f>
        <v>0</v>
      </c>
      <c r="E47" s="141">
        <f>SUMIFS('Plan rashoda za unos u SAP'!$I$3:$I$501,'Plan rashoda za unos u SAP'!$C$3:$C$501,"=12",'Plan rashoda za unos u SAP'!$M$3:$M$501,"=425")</f>
        <v>0</v>
      </c>
      <c r="F47" s="141">
        <f>SUMIFS('Plan rashoda za unos u SAP'!$I$3:$I$501,'Plan rashoda za unos u SAP'!$C$3:$C$501,"=31",'Plan rashoda za unos u SAP'!$M$3:$M$501,"=425")</f>
        <v>0</v>
      </c>
      <c r="G47" s="141">
        <f>SUMIFS('Plan rashoda za unos u SAP'!$I$3:$I$501,'Plan rashoda za unos u SAP'!$C$3:$C$501,"=41",'Plan rashoda za unos u SAP'!$M$3:$M$501,"=425")</f>
        <v>0</v>
      </c>
      <c r="H47" s="141">
        <f>SUMIFS('Plan rashoda za unos u SAP'!$I$3:$I$501,'Plan rashoda za unos u SAP'!$C$3:$C$501,"=43",'Plan rashoda za unos u SAP'!$M$3:$M$501,"=425")</f>
        <v>0</v>
      </c>
      <c r="I47" s="141">
        <f>SUMIFS('Plan rashoda za unos u SAP'!$I$3:$I$501,'Plan rashoda za unos u SAP'!$C$3:$C$501,"=51",'Plan rashoda za unos u SAP'!$M$3:$M$501,"=425")</f>
        <v>0</v>
      </c>
      <c r="J47" s="141">
        <f>SUMIFS('Plan rashoda za unos u SAP'!$I$3:$I$501,'Plan rashoda za unos u SAP'!$C$3:$C$501,"=52",'Plan rashoda za unos u SAP'!$M$3:$M$501,"=425")</f>
        <v>0</v>
      </c>
      <c r="K47" s="141">
        <f>SUMIFS('Plan rashoda za unos u SAP'!$I$3:$I$501,'Plan rashoda za unos u SAP'!$C$3:$C$501,"=552",'Plan rashoda za unos u SAP'!$M$3:$M$501,"=425")</f>
        <v>0</v>
      </c>
      <c r="L47" s="141">
        <f>SUMIFS('Plan rashoda za unos u SAP'!$I$3:$I$501,'Plan rashoda za unos u SAP'!$C$3:$C$501,"=559",'Plan rashoda za unos u SAP'!$M$3:$M$501,"=425")</f>
        <v>0</v>
      </c>
      <c r="M47" s="141">
        <f>SUMIFS('Plan rashoda za unos u SAP'!$I$3:$I$501,'Plan rashoda za unos u SAP'!$C$3:$C$501,"=561",'Plan rashoda za unos u SAP'!$M$3:$M$501,"=425")</f>
        <v>0</v>
      </c>
      <c r="N47" s="141">
        <f>SUMIFS('Plan rashoda za unos u SAP'!$I$3:$I$501,'Plan rashoda za unos u SAP'!$C$3:$C$501,"=563",'Plan rashoda za unos u SAP'!$M$3:$M$501,"=425")</f>
        <v>0</v>
      </c>
      <c r="O47" s="141">
        <f>SUMIFS('Plan rashoda za unos u SAP'!$I$3:$I$501,'Plan rashoda za unos u SAP'!$C$3:$C$501,"=573",'Plan rashoda za unos u SAP'!$M$3:$M$501,"=425")</f>
        <v>0</v>
      </c>
      <c r="P47" s="141">
        <f>SUMIFS('Plan rashoda za unos u SAP'!$I$3:$I$501,'Plan rashoda za unos u SAP'!$C$3:$C$501,"=575",'Plan rashoda za unos u SAP'!$M$3:$M$501,"=425")</f>
        <v>0</v>
      </c>
      <c r="Q47" s="141">
        <f>SUMIFS('Plan rashoda za unos u SAP'!$I$3:$I$501,'Plan rashoda za unos u SAP'!$C$3:$C$501,"=61",'Plan rashoda za unos u SAP'!$M$3:$M$501,"=425")</f>
        <v>0</v>
      </c>
      <c r="R47" s="141">
        <f>SUMIFS('Plan rashoda za unos u SAP'!$I$3:$I$501,'Plan rashoda za unos u SAP'!$C$3:$C$501,"=63",'Plan rashoda za unos u SAP'!$M$3:$M$501,"=425")</f>
        <v>0</v>
      </c>
      <c r="S47" s="141">
        <f>SUMIFS('Plan rashoda za unos u SAP'!$I$3:$I$501,'Plan rashoda za unos u SAP'!$C$3:$C$501,"=71",'Plan rashoda za unos u SAP'!$M$3:$M$501,"=425")</f>
        <v>0</v>
      </c>
      <c r="T47" s="141">
        <f>SUMIFS('Plan rashoda za unos u SAP'!$I$3:$I$501,'Plan rashoda za unos u SAP'!$C$3:$C$501,"=81",'Plan rashoda za unos u SAP'!$M$3:$M$501,"=425")</f>
        <v>0</v>
      </c>
      <c r="U47" s="141">
        <f>SUMIFS('Plan rashoda za unos u SAP'!$I$3:$I$501,'Plan rashoda za unos u SAP'!$C$3:$C$501,"=83",'Plan rashoda za unos u SAP'!$M$3:$M$501,"=425")</f>
        <v>0</v>
      </c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  <c r="IW47" s="74"/>
      <c r="IX47" s="74"/>
      <c r="IY47" s="74"/>
      <c r="IZ47" s="74"/>
      <c r="JA47" s="74"/>
    </row>
    <row r="48" spans="1:261" s="22" customFormat="1" ht="12.6" customHeight="1">
      <c r="A48" s="84">
        <v>426</v>
      </c>
      <c r="B48" s="9" t="s">
        <v>234</v>
      </c>
      <c r="C48" s="15">
        <f t="shared" si="4"/>
        <v>75000</v>
      </c>
      <c r="D48" s="141">
        <f>SUMIFS('Plan rashoda za unos u SAP'!$I$3:$I$501,'Plan rashoda za unos u SAP'!$C$3:$C$501,"=11",'Plan rashoda za unos u SAP'!$M$3:$M$501,"=426")</f>
        <v>0</v>
      </c>
      <c r="E48" s="141">
        <f>SUMIFS('Plan rashoda za unos u SAP'!$I$3:$I$501,'Plan rashoda za unos u SAP'!$C$3:$C$501,"=12",'Plan rashoda za unos u SAP'!$M$3:$M$501,"=426")</f>
        <v>0</v>
      </c>
      <c r="F48" s="141">
        <f>SUMIFS('Plan rashoda za unos u SAP'!$I$3:$I$501,'Plan rashoda za unos u SAP'!$C$3:$C$501,"=31",'Plan rashoda za unos u SAP'!$M$3:$M$501,"=426")</f>
        <v>75000</v>
      </c>
      <c r="G48" s="141">
        <f>SUMIFS('Plan rashoda za unos u SAP'!$I$3:$I$501,'Plan rashoda za unos u SAP'!$C$3:$C$501,"=41",'Plan rashoda za unos u SAP'!$M$3:$M$501,"=426")</f>
        <v>0</v>
      </c>
      <c r="H48" s="141">
        <f>SUMIFS('Plan rashoda za unos u SAP'!$I$3:$I$501,'Plan rashoda za unos u SAP'!$C$3:$C$501,"=43",'Plan rashoda za unos u SAP'!$M$3:$M$501,"=426")</f>
        <v>0</v>
      </c>
      <c r="I48" s="141">
        <f>SUMIFS('Plan rashoda za unos u SAP'!$I$3:$I$501,'Plan rashoda za unos u SAP'!$C$3:$C$501,"=51",'Plan rashoda za unos u SAP'!$M$3:$M$501,"=426")</f>
        <v>0</v>
      </c>
      <c r="J48" s="141">
        <f>SUMIFS('Plan rashoda za unos u SAP'!$I$3:$I$501,'Plan rashoda za unos u SAP'!$C$3:$C$501,"=52",'Plan rashoda za unos u SAP'!$M$3:$M$501,"=426")</f>
        <v>0</v>
      </c>
      <c r="K48" s="141">
        <f>SUMIFS('Plan rashoda za unos u SAP'!$I$3:$I$501,'Plan rashoda za unos u SAP'!$C$3:$C$501,"=552",'Plan rashoda za unos u SAP'!$M$3:$M$501,"=426")</f>
        <v>0</v>
      </c>
      <c r="L48" s="141">
        <f>SUMIFS('Plan rashoda za unos u SAP'!$I$3:$I$501,'Plan rashoda za unos u SAP'!$C$3:$C$501,"=559",'Plan rashoda za unos u SAP'!$M$3:$M$501,"=426")</f>
        <v>0</v>
      </c>
      <c r="M48" s="141">
        <f>SUMIFS('Plan rashoda za unos u SAP'!$I$3:$I$501,'Plan rashoda za unos u SAP'!$C$3:$C$501,"=561",'Plan rashoda za unos u SAP'!$M$3:$M$501,"=426")</f>
        <v>0</v>
      </c>
      <c r="N48" s="141">
        <f>SUMIFS('Plan rashoda za unos u SAP'!$I$3:$I$501,'Plan rashoda za unos u SAP'!$C$3:$C$501,"=563",'Plan rashoda za unos u SAP'!$M$3:$M$501,"=426")</f>
        <v>0</v>
      </c>
      <c r="O48" s="141">
        <f>SUMIFS('Plan rashoda za unos u SAP'!$I$3:$I$501,'Plan rashoda za unos u SAP'!$C$3:$C$501,"=573",'Plan rashoda za unos u SAP'!$M$3:$M$501,"=426")</f>
        <v>0</v>
      </c>
      <c r="P48" s="141">
        <f>SUMIFS('Plan rashoda za unos u SAP'!$I$3:$I$501,'Plan rashoda za unos u SAP'!$C$3:$C$501,"=575",'Plan rashoda za unos u SAP'!$M$3:$M$501,"=426")</f>
        <v>0</v>
      </c>
      <c r="Q48" s="141">
        <f>SUMIFS('Plan rashoda za unos u SAP'!$I$3:$I$501,'Plan rashoda za unos u SAP'!$C$3:$C$501,"=61",'Plan rashoda za unos u SAP'!$M$3:$M$501,"=426")</f>
        <v>0</v>
      </c>
      <c r="R48" s="141">
        <f>SUMIFS('Plan rashoda za unos u SAP'!$I$3:$I$501,'Plan rashoda za unos u SAP'!$C$3:$C$501,"=63",'Plan rashoda za unos u SAP'!$M$3:$M$501,"=426")</f>
        <v>0</v>
      </c>
      <c r="S48" s="141">
        <f>SUMIFS('Plan rashoda za unos u SAP'!$I$3:$I$501,'Plan rashoda za unos u SAP'!$C$3:$C$501,"=71",'Plan rashoda za unos u SAP'!$M$3:$M$501,"=426")</f>
        <v>0</v>
      </c>
      <c r="T48" s="141">
        <f>SUMIFS('Plan rashoda za unos u SAP'!$I$3:$I$501,'Plan rashoda za unos u SAP'!$C$3:$C$501,"=81",'Plan rashoda za unos u SAP'!$M$3:$M$501,"=426")</f>
        <v>0</v>
      </c>
      <c r="U48" s="141">
        <f>SUMIFS('Plan rashoda za unos u SAP'!$I$3:$I$501,'Plan rashoda za unos u SAP'!$C$3:$C$501,"=83",'Plan rashoda za unos u SAP'!$M$3:$M$501,"=426")</f>
        <v>0</v>
      </c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  <c r="IW48" s="74"/>
      <c r="IX48" s="74"/>
      <c r="IY48" s="74"/>
      <c r="IZ48" s="74"/>
      <c r="JA48" s="74"/>
    </row>
    <row r="49" spans="1:261" s="14" customFormat="1" ht="12.6" customHeight="1">
      <c r="A49" s="11">
        <v>43</v>
      </c>
      <c r="B49" s="12" t="s">
        <v>366</v>
      </c>
      <c r="C49" s="4">
        <f t="shared" si="4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>SUM(G50)</f>
        <v>0</v>
      </c>
      <c r="H49" s="13">
        <f t="shared" ref="H49:T49" si="42">SUM(H50)</f>
        <v>0</v>
      </c>
      <c r="I49" s="13">
        <f t="shared" si="42"/>
        <v>0</v>
      </c>
      <c r="J49" s="13">
        <f t="shared" si="42"/>
        <v>0</v>
      </c>
      <c r="K49" s="13">
        <f>SUM(K50)</f>
        <v>0</v>
      </c>
      <c r="L49" s="13">
        <f t="shared" si="42"/>
        <v>0</v>
      </c>
      <c r="M49" s="13">
        <f t="shared" si="42"/>
        <v>0</v>
      </c>
      <c r="N49" s="13">
        <f t="shared" si="42"/>
        <v>0</v>
      </c>
      <c r="O49" s="13">
        <f>SUM(O50)</f>
        <v>0</v>
      </c>
      <c r="P49" s="13">
        <f>SUM(P50)</f>
        <v>0</v>
      </c>
      <c r="Q49" s="13">
        <f t="shared" si="42"/>
        <v>0</v>
      </c>
      <c r="R49" s="13">
        <f t="shared" si="42"/>
        <v>0</v>
      </c>
      <c r="S49" s="13">
        <f t="shared" si="42"/>
        <v>0</v>
      </c>
      <c r="T49" s="13">
        <f t="shared" si="42"/>
        <v>0</v>
      </c>
      <c r="U49" s="13">
        <f>SUM(U50)</f>
        <v>0</v>
      </c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0"/>
      <c r="GF49" s="80"/>
      <c r="GG49" s="80"/>
      <c r="GH49" s="80"/>
      <c r="GI49" s="80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  <c r="IW49" s="81"/>
      <c r="IX49" s="81"/>
      <c r="IY49" s="81"/>
      <c r="IZ49" s="81"/>
      <c r="JA49" s="81"/>
    </row>
    <row r="50" spans="1:261" s="14" customFormat="1" ht="12.6" customHeight="1">
      <c r="A50" s="83">
        <v>431</v>
      </c>
      <c r="B50" s="9" t="s">
        <v>367</v>
      </c>
      <c r="C50" s="15">
        <f t="shared" si="4"/>
        <v>0</v>
      </c>
      <c r="D50" s="141">
        <f>SUMIFS('Plan rashoda za unos u SAP'!$I$3:$I$501,'Plan rashoda za unos u SAP'!$C$3:$C$501,"=11",'Plan rashoda za unos u SAP'!$M$3:$M$501,"=431")</f>
        <v>0</v>
      </c>
      <c r="E50" s="141">
        <f>SUMIFS('Plan rashoda za unos u SAP'!$I$3:$I$501,'Plan rashoda za unos u SAP'!$C$3:$C$501,"=12",'Plan rashoda za unos u SAP'!$M$3:$M$501,"=431")</f>
        <v>0</v>
      </c>
      <c r="F50" s="141">
        <f>SUMIFS('Plan rashoda za unos u SAP'!$I$3:$I$501,'Plan rashoda za unos u SAP'!$C$3:$C$501,"=31",'Plan rashoda za unos u SAP'!$M$3:$M$501,"=431")</f>
        <v>0</v>
      </c>
      <c r="G50" s="141">
        <f>SUMIFS('Plan rashoda za unos u SAP'!$I$3:$I$501,'Plan rashoda za unos u SAP'!$C$3:$C$501,"=41",'Plan rashoda za unos u SAP'!$M$3:$M$501,"=431")</f>
        <v>0</v>
      </c>
      <c r="H50" s="141">
        <f>SUMIFS('Plan rashoda za unos u SAP'!$I$3:$I$501,'Plan rashoda za unos u SAP'!$C$3:$C$501,"=43",'Plan rashoda za unos u SAP'!$M$3:$M$501,"=431")</f>
        <v>0</v>
      </c>
      <c r="I50" s="141">
        <f>SUMIFS('Plan rashoda za unos u SAP'!$I$3:$I$501,'Plan rashoda za unos u SAP'!$C$3:$C$501,"=51",'Plan rashoda za unos u SAP'!$M$3:$M$501,"=431")</f>
        <v>0</v>
      </c>
      <c r="J50" s="141">
        <f>SUMIFS('Plan rashoda za unos u SAP'!$I$3:$I$501,'Plan rashoda za unos u SAP'!$C$3:$C$501,"=52",'Plan rashoda za unos u SAP'!$M$3:$M$501,"=431")</f>
        <v>0</v>
      </c>
      <c r="K50" s="141">
        <f>SUMIFS('Plan rashoda za unos u SAP'!$I$3:$I$501,'Plan rashoda za unos u SAP'!$C$3:$C$501,"=552",'Plan rashoda za unos u SAP'!$M$3:$M$501,"=431")</f>
        <v>0</v>
      </c>
      <c r="L50" s="141">
        <f>SUMIFS('Plan rashoda za unos u SAP'!$I$3:$I$501,'Plan rashoda za unos u SAP'!$C$3:$C$501,"=559",'Plan rashoda za unos u SAP'!$M$3:$M$501,"=431")</f>
        <v>0</v>
      </c>
      <c r="M50" s="141">
        <f>SUMIFS('Plan rashoda za unos u SAP'!$I$3:$I$501,'Plan rashoda za unos u SAP'!$C$3:$C$501,"=561",'Plan rashoda za unos u SAP'!$M$3:$M$501,"=431")</f>
        <v>0</v>
      </c>
      <c r="N50" s="141">
        <f>SUMIFS('Plan rashoda za unos u SAP'!$I$3:$I$501,'Plan rashoda za unos u SAP'!$C$3:$C$501,"=563",'Plan rashoda za unos u SAP'!$M$3:$M$501,"=431")</f>
        <v>0</v>
      </c>
      <c r="O50" s="141">
        <f>SUMIFS('Plan rashoda za unos u SAP'!$I$3:$I$501,'Plan rashoda za unos u SAP'!$C$3:$C$501,"=573",'Plan rashoda za unos u SAP'!$M$3:$M$501,"=431")</f>
        <v>0</v>
      </c>
      <c r="P50" s="141">
        <f>SUMIFS('Plan rashoda za unos u SAP'!$I$3:$I$501,'Plan rashoda za unos u SAP'!$C$3:$C$501,"=575",'Plan rashoda za unos u SAP'!$M$3:$M$501,"=431")</f>
        <v>0</v>
      </c>
      <c r="Q50" s="141">
        <f>SUMIFS('Plan rashoda za unos u SAP'!$I$3:$I$501,'Plan rashoda za unos u SAP'!$C$3:$C$501,"=61",'Plan rashoda za unos u SAP'!$M$3:$M$501,"=431")</f>
        <v>0</v>
      </c>
      <c r="R50" s="141">
        <f>SUMIFS('Plan rashoda za unos u SAP'!$I$3:$I$501,'Plan rashoda za unos u SAP'!$C$3:$C$501,"=63",'Plan rashoda za unos u SAP'!$M$3:$M$501,"=431")</f>
        <v>0</v>
      </c>
      <c r="S50" s="141">
        <f>SUMIFS('Plan rashoda za unos u SAP'!$I$3:$I$501,'Plan rashoda za unos u SAP'!$C$3:$C$501,"=71",'Plan rashoda za unos u SAP'!$M$3:$M$501,"=431")</f>
        <v>0</v>
      </c>
      <c r="T50" s="141">
        <f>SUMIFS('Plan rashoda za unos u SAP'!$I$3:$I$501,'Plan rashoda za unos u SAP'!$C$3:$C$501,"=81",'Plan rashoda za unos u SAP'!$M$3:$M$501,"=431")</f>
        <v>0</v>
      </c>
      <c r="U50" s="141">
        <f>SUMIFS('Plan rashoda za unos u SAP'!$I$3:$I$501,'Plan rashoda za unos u SAP'!$C$3:$C$501,"=83",'Plan rashoda za unos u SAP'!$M$3:$M$501,"=431")</f>
        <v>0</v>
      </c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  <c r="IW50" s="74"/>
      <c r="IX50" s="74"/>
      <c r="IY50" s="74"/>
      <c r="IZ50" s="74"/>
      <c r="JA50" s="74"/>
    </row>
    <row r="51" spans="1:261" s="14" customFormat="1" ht="12.6" customHeight="1">
      <c r="A51" s="11">
        <v>44</v>
      </c>
      <c r="B51" s="12" t="s">
        <v>367</v>
      </c>
      <c r="C51" s="4">
        <f t="shared" si="4"/>
        <v>0</v>
      </c>
      <c r="D51" s="13">
        <f t="shared" ref="D51:U51" si="43">SUM(D52)</f>
        <v>0</v>
      </c>
      <c r="E51" s="13">
        <f t="shared" si="43"/>
        <v>0</v>
      </c>
      <c r="F51" s="13">
        <f t="shared" si="43"/>
        <v>0</v>
      </c>
      <c r="G51" s="13">
        <f t="shared" si="43"/>
        <v>0</v>
      </c>
      <c r="H51" s="13">
        <f t="shared" si="43"/>
        <v>0</v>
      </c>
      <c r="I51" s="13">
        <f t="shared" si="43"/>
        <v>0</v>
      </c>
      <c r="J51" s="13">
        <f t="shared" si="43"/>
        <v>0</v>
      </c>
      <c r="K51" s="13">
        <f t="shared" si="43"/>
        <v>0</v>
      </c>
      <c r="L51" s="13">
        <f t="shared" si="43"/>
        <v>0</v>
      </c>
      <c r="M51" s="13">
        <f t="shared" si="43"/>
        <v>0</v>
      </c>
      <c r="N51" s="13">
        <f t="shared" si="43"/>
        <v>0</v>
      </c>
      <c r="O51" s="13">
        <f t="shared" si="43"/>
        <v>0</v>
      </c>
      <c r="P51" s="13">
        <f t="shared" si="43"/>
        <v>0</v>
      </c>
      <c r="Q51" s="13">
        <f t="shared" si="43"/>
        <v>0</v>
      </c>
      <c r="R51" s="13">
        <f t="shared" si="43"/>
        <v>0</v>
      </c>
      <c r="S51" s="13">
        <f t="shared" si="43"/>
        <v>0</v>
      </c>
      <c r="T51" s="13">
        <f t="shared" si="43"/>
        <v>0</v>
      </c>
      <c r="U51" s="13">
        <f t="shared" si="43"/>
        <v>0</v>
      </c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0"/>
      <c r="GF51" s="80"/>
      <c r="GG51" s="80"/>
      <c r="GH51" s="80"/>
      <c r="GI51" s="80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  <c r="IW51" s="81"/>
      <c r="IX51" s="81"/>
      <c r="IY51" s="81"/>
      <c r="IZ51" s="81"/>
      <c r="JA51" s="81"/>
    </row>
    <row r="52" spans="1:261" s="14" customFormat="1" ht="12.6" customHeight="1">
      <c r="A52" s="84">
        <v>441</v>
      </c>
      <c r="B52" s="88" t="s">
        <v>368</v>
      </c>
      <c r="C52" s="15">
        <f t="shared" si="4"/>
        <v>0</v>
      </c>
      <c r="D52" s="141">
        <f>SUMIFS('Plan rashoda za unos u SAP'!$I$3:$I$501,'Plan rashoda za unos u SAP'!$C$3:$C$501,"=11",'Plan rashoda za unos u SAP'!$M$3:$M$501,"=441")</f>
        <v>0</v>
      </c>
      <c r="E52" s="141">
        <f>SUMIFS('Plan rashoda za unos u SAP'!$I$3:$I$501,'Plan rashoda za unos u SAP'!$C$3:$C$501,"=12",'Plan rashoda za unos u SAP'!$M$3:$M$501,"=441")</f>
        <v>0</v>
      </c>
      <c r="F52" s="141">
        <f>SUMIFS('Plan rashoda za unos u SAP'!$I$3:$I$501,'Plan rashoda za unos u SAP'!$C$3:$C$501,"=31",'Plan rashoda za unos u SAP'!$M$3:$M$501,"=441")</f>
        <v>0</v>
      </c>
      <c r="G52" s="141">
        <f>SUMIFS('Plan rashoda za unos u SAP'!$I$3:$I$501,'Plan rashoda za unos u SAP'!$C$3:$C$501,"=41",'Plan rashoda za unos u SAP'!$M$3:$M$501,"=441")</f>
        <v>0</v>
      </c>
      <c r="H52" s="141">
        <f>SUMIFS('Plan rashoda za unos u SAP'!$I$3:$I$501,'Plan rashoda za unos u SAP'!$C$3:$C$501,"=43",'Plan rashoda za unos u SAP'!$M$3:$M$501,"=441")</f>
        <v>0</v>
      </c>
      <c r="I52" s="141">
        <f>SUMIFS('Plan rashoda za unos u SAP'!$I$3:$I$501,'Plan rashoda za unos u SAP'!$C$3:$C$501,"=51",'Plan rashoda za unos u SAP'!$M$3:$M$501,"=441")</f>
        <v>0</v>
      </c>
      <c r="J52" s="141">
        <f>SUMIFS('Plan rashoda za unos u SAP'!$I$3:$I$501,'Plan rashoda za unos u SAP'!$C$3:$C$501,"=52",'Plan rashoda za unos u SAP'!$M$3:$M$501,"=441")</f>
        <v>0</v>
      </c>
      <c r="K52" s="141">
        <f>SUMIFS('Plan rashoda za unos u SAP'!$I$3:$I$501,'Plan rashoda za unos u SAP'!$C$3:$C$501,"=552",'Plan rashoda za unos u SAP'!$M$3:$M$501,"=441")</f>
        <v>0</v>
      </c>
      <c r="L52" s="141">
        <f>SUMIFS('Plan rashoda za unos u SAP'!$I$3:$I$501,'Plan rashoda za unos u SAP'!$C$3:$C$501,"=559",'Plan rashoda za unos u SAP'!$M$3:$M$501,"=441")</f>
        <v>0</v>
      </c>
      <c r="M52" s="141">
        <f>SUMIFS('Plan rashoda za unos u SAP'!$I$3:$I$501,'Plan rashoda za unos u SAP'!$C$3:$C$501,"=561",'Plan rashoda za unos u SAP'!$M$3:$M$501,"=441")</f>
        <v>0</v>
      </c>
      <c r="N52" s="141">
        <f>SUMIFS('Plan rashoda za unos u SAP'!$I$3:$I$501,'Plan rashoda za unos u SAP'!$C$3:$C$501,"=563",'Plan rashoda za unos u SAP'!$M$3:$M$501,"=441")</f>
        <v>0</v>
      </c>
      <c r="O52" s="141">
        <f>SUMIFS('Plan rashoda za unos u SAP'!$I$3:$I$501,'Plan rashoda za unos u SAP'!$C$3:$C$501,"=573",'Plan rashoda za unos u SAP'!$M$3:$M$501,"=441")</f>
        <v>0</v>
      </c>
      <c r="P52" s="141">
        <f>SUMIFS('Plan rashoda za unos u SAP'!$I$3:$I$501,'Plan rashoda za unos u SAP'!$C$3:$C$501,"=575",'Plan rashoda za unos u SAP'!$M$3:$M$501,"=441")</f>
        <v>0</v>
      </c>
      <c r="Q52" s="141">
        <f>SUMIFS('Plan rashoda za unos u SAP'!$I$3:$I$501,'Plan rashoda za unos u SAP'!$C$3:$C$501,"=61",'Plan rashoda za unos u SAP'!$M$3:$M$501,"=441")</f>
        <v>0</v>
      </c>
      <c r="R52" s="141">
        <f>SUMIFS('Plan rashoda za unos u SAP'!$I$3:$I$501,'Plan rashoda za unos u SAP'!$C$3:$C$501,"=63",'Plan rashoda za unos u SAP'!$M$3:$M$501,"=441")</f>
        <v>0</v>
      </c>
      <c r="S52" s="141">
        <f>SUMIFS('Plan rashoda za unos u SAP'!$I$3:$I$501,'Plan rashoda za unos u SAP'!$C$3:$C$501,"=71",'Plan rashoda za unos u SAP'!$M$3:$M$501,"=441")</f>
        <v>0</v>
      </c>
      <c r="T52" s="141">
        <f>SUMIFS('Plan rashoda za unos u SAP'!$I$3:$I$501,'Plan rashoda za unos u SAP'!$C$3:$C$501,"=81",'Plan rashoda za unos u SAP'!$M$3:$M$501,"=441")</f>
        <v>0</v>
      </c>
      <c r="U52" s="141">
        <f>SUMIFS('Plan rashoda za unos u SAP'!$I$3:$I$501,'Plan rashoda za unos u SAP'!$C$3:$C$501,"=83",'Plan rashoda za unos u SAP'!$M$3:$M$501,"=441")</f>
        <v>0</v>
      </c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  <c r="IW52" s="74"/>
      <c r="IX52" s="74"/>
      <c r="IY52" s="74"/>
      <c r="IZ52" s="74"/>
      <c r="JA52" s="74"/>
    </row>
    <row r="53" spans="1:261" s="21" customFormat="1" ht="12.6" customHeight="1">
      <c r="A53" s="85">
        <v>45</v>
      </c>
      <c r="B53" s="16" t="s">
        <v>235</v>
      </c>
      <c r="C53" s="4">
        <f t="shared" si="4"/>
        <v>29111844</v>
      </c>
      <c r="D53" s="4">
        <f t="shared" ref="D53:U53" si="44">SUM(D54:D57)</f>
        <v>25567483</v>
      </c>
      <c r="E53" s="4">
        <f t="shared" si="44"/>
        <v>0</v>
      </c>
      <c r="F53" s="4">
        <f t="shared" si="44"/>
        <v>0</v>
      </c>
      <c r="G53" s="4">
        <f t="shared" ref="G53" si="45">SUM(G54:G57)</f>
        <v>0</v>
      </c>
      <c r="H53" s="4">
        <f t="shared" si="44"/>
        <v>0</v>
      </c>
      <c r="I53" s="4">
        <f t="shared" si="44"/>
        <v>0</v>
      </c>
      <c r="J53" s="4">
        <f t="shared" si="44"/>
        <v>3544361</v>
      </c>
      <c r="K53" s="4">
        <f t="shared" ref="K53" si="46">SUM(K54:K57)</f>
        <v>0</v>
      </c>
      <c r="L53" s="4">
        <f t="shared" si="44"/>
        <v>0</v>
      </c>
      <c r="M53" s="4">
        <f t="shared" si="44"/>
        <v>0</v>
      </c>
      <c r="N53" s="4">
        <f t="shared" si="44"/>
        <v>0</v>
      </c>
      <c r="O53" s="4">
        <f t="shared" ref="O53:P53" si="47">SUM(O54:O57)</f>
        <v>0</v>
      </c>
      <c r="P53" s="4">
        <f t="shared" si="47"/>
        <v>0</v>
      </c>
      <c r="Q53" s="4">
        <f t="shared" si="44"/>
        <v>0</v>
      </c>
      <c r="R53" s="4">
        <f t="shared" si="44"/>
        <v>0</v>
      </c>
      <c r="S53" s="4">
        <f t="shared" si="44"/>
        <v>0</v>
      </c>
      <c r="T53" s="4">
        <f t="shared" si="44"/>
        <v>0</v>
      </c>
      <c r="U53" s="4">
        <f t="shared" si="44"/>
        <v>0</v>
      </c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  <c r="IW53" s="87"/>
      <c r="IX53" s="87"/>
      <c r="IY53" s="87"/>
      <c r="IZ53" s="87"/>
      <c r="JA53" s="87"/>
    </row>
    <row r="54" spans="1:261" s="22" customFormat="1" ht="12.6" customHeight="1">
      <c r="A54" s="83">
        <v>451</v>
      </c>
      <c r="B54" s="9" t="s">
        <v>140</v>
      </c>
      <c r="C54" s="15">
        <f t="shared" si="4"/>
        <v>27986747</v>
      </c>
      <c r="D54" s="141">
        <f>SUMIFS('Plan rashoda za unos u SAP'!$I$3:$I$501,'Plan rashoda za unos u SAP'!$C$3:$C$501,"=11",'Plan rashoda za unos u SAP'!$M$3:$M$501,"=451")</f>
        <v>24442386</v>
      </c>
      <c r="E54" s="141">
        <f>SUMIFS('Plan rashoda za unos u SAP'!$I$3:$I$501,'Plan rashoda za unos u SAP'!$C$3:$C$501,"=12",'Plan rashoda za unos u SAP'!$M$3:$M$501,"=451")</f>
        <v>0</v>
      </c>
      <c r="F54" s="141">
        <f>SUMIFS('Plan rashoda za unos u SAP'!$I$3:$I$501,'Plan rashoda za unos u SAP'!$C$3:$C$501,"=31",'Plan rashoda za unos u SAP'!$M$3:$M$501,"=451")</f>
        <v>0</v>
      </c>
      <c r="G54" s="141">
        <f>SUMIFS('Plan rashoda za unos u SAP'!$I$3:$I$501,'Plan rashoda za unos u SAP'!$C$3:$C$501,"=41",'Plan rashoda za unos u SAP'!$M$3:$M$501,"=451")</f>
        <v>0</v>
      </c>
      <c r="H54" s="141">
        <f>SUMIFS('Plan rashoda za unos u SAP'!$I$3:$I$501,'Plan rashoda za unos u SAP'!$C$3:$C$501,"=43",'Plan rashoda za unos u SAP'!$M$3:$M$501,"=451")</f>
        <v>0</v>
      </c>
      <c r="I54" s="141">
        <f>SUMIFS('Plan rashoda za unos u SAP'!$I$3:$I$501,'Plan rashoda za unos u SAP'!$C$3:$C$501,"=51",'Plan rashoda za unos u SAP'!$M$3:$M$501,"=451")</f>
        <v>0</v>
      </c>
      <c r="J54" s="141">
        <f>SUMIFS('Plan rashoda za unos u SAP'!$I$3:$I$501,'Plan rashoda za unos u SAP'!$C$3:$C$501,"=52",'Plan rashoda za unos u SAP'!$M$3:$M$501,"=451")</f>
        <v>3544361</v>
      </c>
      <c r="K54" s="141">
        <f>SUMIFS('Plan rashoda za unos u SAP'!$I$3:$I$501,'Plan rashoda za unos u SAP'!$C$3:$C$501,"=552",'Plan rashoda za unos u SAP'!$M$3:$M$501,"=451")</f>
        <v>0</v>
      </c>
      <c r="L54" s="141">
        <f>SUMIFS('Plan rashoda za unos u SAP'!$I$3:$I$501,'Plan rashoda za unos u SAP'!$C$3:$C$501,"=559",'Plan rashoda za unos u SAP'!$M$3:$M$501,"=451")</f>
        <v>0</v>
      </c>
      <c r="M54" s="141">
        <f>SUMIFS('Plan rashoda za unos u SAP'!$I$3:$I$501,'Plan rashoda za unos u SAP'!$C$3:$C$501,"=561",'Plan rashoda za unos u SAP'!$M$3:$M$501,"=451")</f>
        <v>0</v>
      </c>
      <c r="N54" s="141">
        <f>SUMIFS('Plan rashoda za unos u SAP'!$I$3:$I$501,'Plan rashoda za unos u SAP'!$C$3:$C$501,"=563",'Plan rashoda za unos u SAP'!$M$3:$M$501,"=451")</f>
        <v>0</v>
      </c>
      <c r="O54" s="141">
        <f>SUMIFS('Plan rashoda za unos u SAP'!$I$3:$I$501,'Plan rashoda za unos u SAP'!$C$3:$C$501,"=573",'Plan rashoda za unos u SAP'!$M$3:$M$501,"=451")</f>
        <v>0</v>
      </c>
      <c r="P54" s="141">
        <f>SUMIFS('Plan rashoda za unos u SAP'!$I$3:$I$501,'Plan rashoda za unos u SAP'!$C$3:$C$501,"=575",'Plan rashoda za unos u SAP'!$M$3:$M$501,"=451")</f>
        <v>0</v>
      </c>
      <c r="Q54" s="141">
        <f>SUMIFS('Plan rashoda za unos u SAP'!$I$3:$I$501,'Plan rashoda za unos u SAP'!$C$3:$C$501,"=61",'Plan rashoda za unos u SAP'!$M$3:$M$501,"=451")</f>
        <v>0</v>
      </c>
      <c r="R54" s="141">
        <f>SUMIFS('Plan rashoda za unos u SAP'!$I$3:$I$501,'Plan rashoda za unos u SAP'!$C$3:$C$501,"=63",'Plan rashoda za unos u SAP'!$M$3:$M$501,"=451")</f>
        <v>0</v>
      </c>
      <c r="S54" s="141">
        <f>SUMIFS('Plan rashoda za unos u SAP'!$I$3:$I$501,'Plan rashoda za unos u SAP'!$C$3:$C$501,"=71",'Plan rashoda za unos u SAP'!$M$3:$M$501,"=451")</f>
        <v>0</v>
      </c>
      <c r="T54" s="141">
        <f>SUMIFS('Plan rashoda za unos u SAP'!$I$3:$I$501,'Plan rashoda za unos u SAP'!$C$3:$C$501,"=81",'Plan rashoda za unos u SAP'!$M$3:$M$501,"=451")</f>
        <v>0</v>
      </c>
      <c r="U54" s="141">
        <f>SUMIFS('Plan rashoda za unos u SAP'!$I$3:$I$501,'Plan rashoda za unos u SAP'!$C$3:$C$501,"=83",'Plan rashoda za unos u SAP'!$M$3:$M$501,"=451")</f>
        <v>0</v>
      </c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  <c r="IW54" s="74"/>
      <c r="IX54" s="74"/>
      <c r="IY54" s="74"/>
      <c r="IZ54" s="74"/>
      <c r="JA54" s="74"/>
    </row>
    <row r="55" spans="1:261" s="22" customFormat="1" ht="12.6" customHeight="1">
      <c r="A55" s="83">
        <v>452</v>
      </c>
      <c r="B55" s="9" t="s">
        <v>160</v>
      </c>
      <c r="C55" s="15">
        <f t="shared" si="4"/>
        <v>0</v>
      </c>
      <c r="D55" s="141">
        <f>SUMIFS('Plan rashoda za unos u SAP'!$I$3:$I$501,'Plan rashoda za unos u SAP'!$C$3:$C$501,"=11",'Plan rashoda za unos u SAP'!$M$3:$M$501,"=452")</f>
        <v>0</v>
      </c>
      <c r="E55" s="141">
        <f>SUMIFS('Plan rashoda za unos u SAP'!$I$3:$I$501,'Plan rashoda za unos u SAP'!$C$3:$C$501,"=12",'Plan rashoda za unos u SAP'!$M$3:$M$501,"=452")</f>
        <v>0</v>
      </c>
      <c r="F55" s="141">
        <f>SUMIFS('Plan rashoda za unos u SAP'!$I$3:$I$501,'Plan rashoda za unos u SAP'!$C$3:$C$501,"=31",'Plan rashoda za unos u SAP'!$M$3:$M$501,"=452")</f>
        <v>0</v>
      </c>
      <c r="G55" s="141">
        <f>SUMIFS('Plan rashoda za unos u SAP'!$I$3:$I$501,'Plan rashoda za unos u SAP'!$C$3:$C$501,"=41",'Plan rashoda za unos u SAP'!$M$3:$M$501,"=452")</f>
        <v>0</v>
      </c>
      <c r="H55" s="141">
        <f>SUMIFS('Plan rashoda za unos u SAP'!$I$3:$I$501,'Plan rashoda za unos u SAP'!$C$3:$C$501,"=43",'Plan rashoda za unos u SAP'!$M$3:$M$501,"=452")</f>
        <v>0</v>
      </c>
      <c r="I55" s="141">
        <f>SUMIFS('Plan rashoda za unos u SAP'!$I$3:$I$501,'Plan rashoda za unos u SAP'!$C$3:$C$501,"=51",'Plan rashoda za unos u SAP'!$M$3:$M$501,"=452")</f>
        <v>0</v>
      </c>
      <c r="J55" s="141">
        <f>SUMIFS('Plan rashoda za unos u SAP'!$I$3:$I$501,'Plan rashoda za unos u SAP'!$C$3:$C$501,"=52",'Plan rashoda za unos u SAP'!$M$3:$M$501,"=452")</f>
        <v>0</v>
      </c>
      <c r="K55" s="141">
        <f>SUMIFS('Plan rashoda za unos u SAP'!$I$3:$I$501,'Plan rashoda za unos u SAP'!$C$3:$C$501,"=552",'Plan rashoda za unos u SAP'!$M$3:$M$501,"=452")</f>
        <v>0</v>
      </c>
      <c r="L55" s="141">
        <f>SUMIFS('Plan rashoda za unos u SAP'!$I$3:$I$501,'Plan rashoda za unos u SAP'!$C$3:$C$501,"=559",'Plan rashoda za unos u SAP'!$M$3:$M$501,"=452")</f>
        <v>0</v>
      </c>
      <c r="M55" s="141">
        <f>SUMIFS('Plan rashoda za unos u SAP'!$I$3:$I$501,'Plan rashoda za unos u SAP'!$C$3:$C$501,"=561",'Plan rashoda za unos u SAP'!$M$3:$M$501,"=452")</f>
        <v>0</v>
      </c>
      <c r="N55" s="141">
        <f>SUMIFS('Plan rashoda za unos u SAP'!$I$3:$I$501,'Plan rashoda za unos u SAP'!$C$3:$C$501,"=563",'Plan rashoda za unos u SAP'!$M$3:$M$501,"=452")</f>
        <v>0</v>
      </c>
      <c r="O55" s="141">
        <f>SUMIFS('Plan rashoda za unos u SAP'!$I$3:$I$501,'Plan rashoda za unos u SAP'!$C$3:$C$501,"=573",'Plan rashoda za unos u SAP'!$M$3:$M$501,"=452")</f>
        <v>0</v>
      </c>
      <c r="P55" s="141">
        <f>SUMIFS('Plan rashoda za unos u SAP'!$I$3:$I$501,'Plan rashoda za unos u SAP'!$C$3:$C$501,"=575",'Plan rashoda za unos u SAP'!$M$3:$M$501,"=452")</f>
        <v>0</v>
      </c>
      <c r="Q55" s="141">
        <f>SUMIFS('Plan rashoda za unos u SAP'!$I$3:$I$501,'Plan rashoda za unos u SAP'!$C$3:$C$501,"=61",'Plan rashoda za unos u SAP'!$M$3:$M$501,"=452")</f>
        <v>0</v>
      </c>
      <c r="R55" s="141">
        <f>SUMIFS('Plan rashoda za unos u SAP'!$I$3:$I$501,'Plan rashoda za unos u SAP'!$C$3:$C$501,"=63",'Plan rashoda za unos u SAP'!$M$3:$M$501,"=452")</f>
        <v>0</v>
      </c>
      <c r="S55" s="141">
        <f>SUMIFS('Plan rashoda za unos u SAP'!$I$3:$I$501,'Plan rashoda za unos u SAP'!$C$3:$C$501,"=71",'Plan rashoda za unos u SAP'!$M$3:$M$501,"=452")</f>
        <v>0</v>
      </c>
      <c r="T55" s="141">
        <f>SUMIFS('Plan rashoda za unos u SAP'!$I$3:$I$501,'Plan rashoda za unos u SAP'!$C$3:$C$501,"=81",'Plan rashoda za unos u SAP'!$M$3:$M$501,"=452")</f>
        <v>0</v>
      </c>
      <c r="U55" s="141">
        <f>SUMIFS('Plan rashoda za unos u SAP'!$I$3:$I$501,'Plan rashoda za unos u SAP'!$C$3:$C$501,"=83",'Plan rashoda za unos u SAP'!$M$3:$M$501,"=452")</f>
        <v>0</v>
      </c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  <c r="IW55" s="74"/>
      <c r="IX55" s="74"/>
      <c r="IY55" s="74"/>
      <c r="IZ55" s="74"/>
      <c r="JA55" s="74"/>
    </row>
    <row r="56" spans="1:261" s="22" customFormat="1" ht="12.6" customHeight="1">
      <c r="A56" s="84">
        <v>453</v>
      </c>
      <c r="B56" s="9" t="s">
        <v>203</v>
      </c>
      <c r="C56" s="15">
        <f t="shared" si="4"/>
        <v>0</v>
      </c>
      <c r="D56" s="141">
        <f>SUMIFS('Plan rashoda za unos u SAP'!$I$3:$I$501,'Plan rashoda za unos u SAP'!$C$3:$C$501,"=11",'Plan rashoda za unos u SAP'!$M$3:$M$501,"=453")</f>
        <v>0</v>
      </c>
      <c r="E56" s="141">
        <f>SUMIFS('Plan rashoda za unos u SAP'!$I$3:$I$501,'Plan rashoda za unos u SAP'!$C$3:$C$501,"=12",'Plan rashoda za unos u SAP'!$M$3:$M$501,"=453")</f>
        <v>0</v>
      </c>
      <c r="F56" s="141">
        <f>SUMIFS('Plan rashoda za unos u SAP'!$I$3:$I$501,'Plan rashoda za unos u SAP'!$C$3:$C$501,"=31",'Plan rashoda za unos u SAP'!$M$3:$M$501,"=453")</f>
        <v>0</v>
      </c>
      <c r="G56" s="141">
        <f>SUMIFS('Plan rashoda za unos u SAP'!$I$3:$I$501,'Plan rashoda za unos u SAP'!$C$3:$C$501,"=41",'Plan rashoda za unos u SAP'!$M$3:$M$501,"=453")</f>
        <v>0</v>
      </c>
      <c r="H56" s="141">
        <f>SUMIFS('Plan rashoda za unos u SAP'!$I$3:$I$501,'Plan rashoda za unos u SAP'!$C$3:$C$501,"=43",'Plan rashoda za unos u SAP'!$M$3:$M$501,"=453")</f>
        <v>0</v>
      </c>
      <c r="I56" s="141">
        <f>SUMIFS('Plan rashoda za unos u SAP'!$I$3:$I$501,'Plan rashoda za unos u SAP'!$C$3:$C$501,"=51",'Plan rashoda za unos u SAP'!$M$3:$M$501,"=453")</f>
        <v>0</v>
      </c>
      <c r="J56" s="141">
        <f>SUMIFS('Plan rashoda za unos u SAP'!$I$3:$I$501,'Plan rashoda za unos u SAP'!$C$3:$C$501,"=52",'Plan rashoda za unos u SAP'!$M$3:$M$501,"=453")</f>
        <v>0</v>
      </c>
      <c r="K56" s="141">
        <f>SUMIFS('Plan rashoda za unos u SAP'!$I$3:$I$501,'Plan rashoda za unos u SAP'!$C$3:$C$501,"=552",'Plan rashoda za unos u SAP'!$M$3:$M$501,"=453")</f>
        <v>0</v>
      </c>
      <c r="L56" s="141">
        <f>SUMIFS('Plan rashoda za unos u SAP'!$I$3:$I$501,'Plan rashoda za unos u SAP'!$C$3:$C$501,"=559",'Plan rashoda za unos u SAP'!$M$3:$M$501,"=453")</f>
        <v>0</v>
      </c>
      <c r="M56" s="141">
        <f>SUMIFS('Plan rashoda za unos u SAP'!$I$3:$I$501,'Plan rashoda za unos u SAP'!$C$3:$C$501,"=561",'Plan rashoda za unos u SAP'!$M$3:$M$501,"=453")</f>
        <v>0</v>
      </c>
      <c r="N56" s="141">
        <f>SUMIFS('Plan rashoda za unos u SAP'!$I$3:$I$501,'Plan rashoda za unos u SAP'!$C$3:$C$501,"=563",'Plan rashoda za unos u SAP'!$M$3:$M$501,"=453")</f>
        <v>0</v>
      </c>
      <c r="O56" s="141">
        <f>SUMIFS('Plan rashoda za unos u SAP'!$I$3:$I$501,'Plan rashoda za unos u SAP'!$C$3:$C$501,"=573",'Plan rashoda za unos u SAP'!$M$3:$M$501,"=453")</f>
        <v>0</v>
      </c>
      <c r="P56" s="141">
        <f>SUMIFS('Plan rashoda za unos u SAP'!$I$3:$I$501,'Plan rashoda za unos u SAP'!$C$3:$C$501,"=575",'Plan rashoda za unos u SAP'!$M$3:$M$501,"=453")</f>
        <v>0</v>
      </c>
      <c r="Q56" s="141">
        <f>SUMIFS('Plan rashoda za unos u SAP'!$I$3:$I$501,'Plan rashoda za unos u SAP'!$C$3:$C$501,"=61",'Plan rashoda za unos u SAP'!$M$3:$M$501,"=453")</f>
        <v>0</v>
      </c>
      <c r="R56" s="141">
        <f>SUMIFS('Plan rashoda za unos u SAP'!$I$3:$I$501,'Plan rashoda za unos u SAP'!$C$3:$C$501,"=63",'Plan rashoda za unos u SAP'!$M$3:$M$501,"=453")</f>
        <v>0</v>
      </c>
      <c r="S56" s="141">
        <f>SUMIFS('Plan rashoda za unos u SAP'!$I$3:$I$501,'Plan rashoda za unos u SAP'!$C$3:$C$501,"=71",'Plan rashoda za unos u SAP'!$M$3:$M$501,"=453")</f>
        <v>0</v>
      </c>
      <c r="T56" s="141">
        <f>SUMIFS('Plan rashoda za unos u SAP'!$I$3:$I$501,'Plan rashoda za unos u SAP'!$C$3:$C$501,"=81",'Plan rashoda za unos u SAP'!$M$3:$M$501,"=453")</f>
        <v>0</v>
      </c>
      <c r="U56" s="141">
        <f>SUMIFS('Plan rashoda za unos u SAP'!$I$3:$I$501,'Plan rashoda za unos u SAP'!$C$3:$C$501,"=83",'Plan rashoda za unos u SAP'!$M$3:$M$501,"=453")</f>
        <v>0</v>
      </c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  <c r="IW56" s="74"/>
      <c r="IX56" s="74"/>
      <c r="IY56" s="74"/>
      <c r="IZ56" s="74"/>
      <c r="JA56" s="74"/>
    </row>
    <row r="57" spans="1:261" s="22" customFormat="1" ht="12.6" customHeight="1">
      <c r="A57" s="84">
        <v>454</v>
      </c>
      <c r="B57" s="88" t="s">
        <v>155</v>
      </c>
      <c r="C57" s="15">
        <f t="shared" si="4"/>
        <v>1125097</v>
      </c>
      <c r="D57" s="141">
        <f>SUMIFS('Plan rashoda za unos u SAP'!$I$3:$I$501,'Plan rashoda za unos u SAP'!$C$3:$C$501,"=11",'Plan rashoda za unos u SAP'!$M$3:$M$501,"=454")</f>
        <v>1125097</v>
      </c>
      <c r="E57" s="141">
        <f>SUMIFS('Plan rashoda za unos u SAP'!$I$3:$I$501,'Plan rashoda za unos u SAP'!$C$3:$C$501,"=12",'Plan rashoda za unos u SAP'!$M$3:$M$501,"=454")</f>
        <v>0</v>
      </c>
      <c r="F57" s="141">
        <f>SUMIFS('Plan rashoda za unos u SAP'!$I$3:$I$501,'Plan rashoda za unos u SAP'!$C$3:$C$501,"=31",'Plan rashoda za unos u SAP'!$M$3:$M$501,"=454")</f>
        <v>0</v>
      </c>
      <c r="G57" s="141">
        <f>SUMIFS('Plan rashoda za unos u SAP'!$I$3:$I$501,'Plan rashoda za unos u SAP'!$C$3:$C$501,"=41",'Plan rashoda za unos u SAP'!$M$3:$M$501,"=454")</f>
        <v>0</v>
      </c>
      <c r="H57" s="141">
        <f>SUMIFS('Plan rashoda za unos u SAP'!$I$3:$I$501,'Plan rashoda za unos u SAP'!$C$3:$C$501,"=43",'Plan rashoda za unos u SAP'!$M$3:$M$501,"=454")</f>
        <v>0</v>
      </c>
      <c r="I57" s="141">
        <f>SUMIFS('Plan rashoda za unos u SAP'!$I$3:$I$501,'Plan rashoda za unos u SAP'!$C$3:$C$501,"=51",'Plan rashoda za unos u SAP'!$M$3:$M$501,"=454")</f>
        <v>0</v>
      </c>
      <c r="J57" s="141">
        <f>SUMIFS('Plan rashoda za unos u SAP'!$I$3:$I$501,'Plan rashoda za unos u SAP'!$C$3:$C$501,"=52",'Plan rashoda za unos u SAP'!$M$3:$M$501,"=454")</f>
        <v>0</v>
      </c>
      <c r="K57" s="141">
        <f>SUMIFS('Plan rashoda za unos u SAP'!$I$3:$I$501,'Plan rashoda za unos u SAP'!$C$3:$C$501,"=552",'Plan rashoda za unos u SAP'!$M$3:$M$501,"=454")</f>
        <v>0</v>
      </c>
      <c r="L57" s="141">
        <f>SUMIFS('Plan rashoda za unos u SAP'!$I$3:$I$501,'Plan rashoda za unos u SAP'!$C$3:$C$501,"=559",'Plan rashoda za unos u SAP'!$M$3:$M$501,"=454")</f>
        <v>0</v>
      </c>
      <c r="M57" s="141">
        <f>SUMIFS('Plan rashoda za unos u SAP'!$I$3:$I$501,'Plan rashoda za unos u SAP'!$C$3:$C$501,"=561",'Plan rashoda za unos u SAP'!$M$3:$M$501,"=454")</f>
        <v>0</v>
      </c>
      <c r="N57" s="141">
        <f>SUMIFS('Plan rashoda za unos u SAP'!$I$3:$I$501,'Plan rashoda za unos u SAP'!$C$3:$C$501,"=563",'Plan rashoda za unos u SAP'!$M$3:$M$501,"=454")</f>
        <v>0</v>
      </c>
      <c r="O57" s="141">
        <f>SUMIFS('Plan rashoda za unos u SAP'!$I$3:$I$501,'Plan rashoda za unos u SAP'!$C$3:$C$501,"=573",'Plan rashoda za unos u SAP'!$M$3:$M$501,"=454")</f>
        <v>0</v>
      </c>
      <c r="P57" s="141">
        <f>SUMIFS('Plan rashoda za unos u SAP'!$I$3:$I$501,'Plan rashoda za unos u SAP'!$C$3:$C$501,"=575",'Plan rashoda za unos u SAP'!$M$3:$M$501,"=454")</f>
        <v>0</v>
      </c>
      <c r="Q57" s="141">
        <f>SUMIFS('Plan rashoda za unos u SAP'!$I$3:$I$501,'Plan rashoda za unos u SAP'!$C$3:$C$501,"=61",'Plan rashoda za unos u SAP'!$M$3:$M$501,"=454")</f>
        <v>0</v>
      </c>
      <c r="R57" s="141">
        <f>SUMIFS('Plan rashoda za unos u SAP'!$I$3:$I$501,'Plan rashoda za unos u SAP'!$C$3:$C$501,"=63",'Plan rashoda za unos u SAP'!$M$3:$M$501,"=454")</f>
        <v>0</v>
      </c>
      <c r="S57" s="141">
        <f>SUMIFS('Plan rashoda za unos u SAP'!$I$3:$I$501,'Plan rashoda za unos u SAP'!$C$3:$C$501,"=71",'Plan rashoda za unos u SAP'!$M$3:$M$501,"=454")</f>
        <v>0</v>
      </c>
      <c r="T57" s="141">
        <f>SUMIFS('Plan rashoda za unos u SAP'!$I$3:$I$501,'Plan rashoda za unos u SAP'!$C$3:$C$501,"=81",'Plan rashoda za unos u SAP'!$M$3:$M$501,"=454")</f>
        <v>0</v>
      </c>
      <c r="U57" s="141">
        <f>SUMIFS('Plan rashoda za unos u SAP'!$I$3:$I$501,'Plan rashoda za unos u SAP'!$C$3:$C$501,"=83",'Plan rashoda za unos u SAP'!$M$3:$M$501,"=454")</f>
        <v>0</v>
      </c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  <c r="IW57" s="74"/>
      <c r="IX57" s="74"/>
      <c r="IY57" s="74"/>
      <c r="IZ57" s="74"/>
      <c r="JA57" s="74"/>
    </row>
    <row r="58" spans="1:261" s="10" customFormat="1" ht="12.6" customHeight="1">
      <c r="A58" s="123">
        <v>5</v>
      </c>
      <c r="B58" s="124" t="s">
        <v>16</v>
      </c>
      <c r="C58" s="127">
        <f t="shared" si="4"/>
        <v>0</v>
      </c>
      <c r="D58" s="126">
        <f t="shared" ref="D58:U58" si="48">+D59+D63</f>
        <v>0</v>
      </c>
      <c r="E58" s="126">
        <f t="shared" si="48"/>
        <v>0</v>
      </c>
      <c r="F58" s="126">
        <f t="shared" si="48"/>
        <v>0</v>
      </c>
      <c r="G58" s="126">
        <f t="shared" ref="G58" si="49">+G59+G63</f>
        <v>0</v>
      </c>
      <c r="H58" s="126">
        <f t="shared" si="48"/>
        <v>0</v>
      </c>
      <c r="I58" s="126">
        <f t="shared" si="48"/>
        <v>0</v>
      </c>
      <c r="J58" s="126">
        <f t="shared" si="48"/>
        <v>0</v>
      </c>
      <c r="K58" s="126">
        <f t="shared" ref="K58" si="50">+K59+K63</f>
        <v>0</v>
      </c>
      <c r="L58" s="126">
        <f t="shared" si="48"/>
        <v>0</v>
      </c>
      <c r="M58" s="126">
        <f t="shared" si="48"/>
        <v>0</v>
      </c>
      <c r="N58" s="126">
        <f t="shared" si="48"/>
        <v>0</v>
      </c>
      <c r="O58" s="126">
        <f t="shared" ref="O58:P58" si="51">+O59+O63</f>
        <v>0</v>
      </c>
      <c r="P58" s="126">
        <f t="shared" si="51"/>
        <v>0</v>
      </c>
      <c r="Q58" s="126">
        <f t="shared" si="48"/>
        <v>0</v>
      </c>
      <c r="R58" s="126">
        <f t="shared" si="48"/>
        <v>0</v>
      </c>
      <c r="S58" s="126">
        <f t="shared" si="48"/>
        <v>0</v>
      </c>
      <c r="T58" s="126">
        <f t="shared" si="48"/>
        <v>0</v>
      </c>
      <c r="U58" s="126">
        <f t="shared" si="48"/>
        <v>0</v>
      </c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  <c r="IW58" s="74"/>
      <c r="IX58" s="74"/>
      <c r="IY58" s="74"/>
      <c r="IZ58" s="74"/>
      <c r="JA58" s="74"/>
    </row>
    <row r="59" spans="1:261" s="14" customFormat="1" ht="12.6" customHeight="1">
      <c r="A59" s="11">
        <v>51</v>
      </c>
      <c r="B59" s="12" t="s">
        <v>379</v>
      </c>
      <c r="C59" s="79">
        <f t="shared" si="4"/>
        <v>0</v>
      </c>
      <c r="D59" s="13">
        <f>SUM(D60:D62)</f>
        <v>0</v>
      </c>
      <c r="E59" s="13">
        <f t="shared" ref="E59" si="52">SUM(E60:E62)</f>
        <v>0</v>
      </c>
      <c r="F59" s="13">
        <f t="shared" ref="F59" si="53">SUM(F60:F62)</f>
        <v>0</v>
      </c>
      <c r="G59" s="13">
        <f t="shared" ref="G59" si="54">SUM(G60:G62)</f>
        <v>0</v>
      </c>
      <c r="H59" s="13">
        <f t="shared" ref="H59" si="55">SUM(H60:H62)</f>
        <v>0</v>
      </c>
      <c r="I59" s="13">
        <f t="shared" ref="I59" si="56">SUM(I60:I62)</f>
        <v>0</v>
      </c>
      <c r="J59" s="13">
        <f t="shared" ref="J59" si="57">SUM(J60:J62)</f>
        <v>0</v>
      </c>
      <c r="K59" s="13">
        <f t="shared" ref="K59" si="58">SUM(K60:K62)</f>
        <v>0</v>
      </c>
      <c r="L59" s="13">
        <f t="shared" ref="L59" si="59">SUM(L60:L62)</f>
        <v>0</v>
      </c>
      <c r="M59" s="13">
        <f t="shared" ref="M59" si="60">SUM(M60:M62)</f>
        <v>0</v>
      </c>
      <c r="N59" s="13">
        <f t="shared" ref="N59" si="61">SUM(N60:N62)</f>
        <v>0</v>
      </c>
      <c r="O59" s="13">
        <f t="shared" ref="O59" si="62">SUM(O60:O62)</f>
        <v>0</v>
      </c>
      <c r="P59" s="13">
        <f t="shared" ref="P59" si="63">SUM(P60:P62)</f>
        <v>0</v>
      </c>
      <c r="Q59" s="13">
        <f t="shared" ref="Q59" si="64">SUM(Q60:Q62)</f>
        <v>0</v>
      </c>
      <c r="R59" s="13">
        <f t="shared" ref="R59" si="65">SUM(R60:R62)</f>
        <v>0</v>
      </c>
      <c r="S59" s="13">
        <f t="shared" ref="S59" si="66">SUM(S60:S62)</f>
        <v>0</v>
      </c>
      <c r="T59" s="13">
        <f t="shared" ref="T59" si="67">SUM(T60:T62)</f>
        <v>0</v>
      </c>
      <c r="U59" s="13">
        <f>SUM(U60:U62)</f>
        <v>0</v>
      </c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  <c r="IW59" s="81"/>
      <c r="IX59" s="81"/>
      <c r="IY59" s="81"/>
      <c r="IZ59" s="81"/>
      <c r="JA59" s="81"/>
    </row>
    <row r="60" spans="1:261" s="14" customFormat="1" ht="12.6" customHeight="1">
      <c r="A60" s="138">
        <v>512</v>
      </c>
      <c r="B60" s="82" t="s">
        <v>385</v>
      </c>
      <c r="C60" s="79">
        <f t="shared" si="4"/>
        <v>0</v>
      </c>
      <c r="D60" s="141">
        <f>SUMIFS('Plan rashoda za unos u SAP'!$I$3:$I$501,'Plan rashoda za unos u SAP'!$C$3:$C$501,"=11",'Plan rashoda za unos u SAP'!$M$3:$M$501,"=512")</f>
        <v>0</v>
      </c>
      <c r="E60" s="141">
        <f>SUMIFS('Plan rashoda za unos u SAP'!$I$3:$I$501,'Plan rashoda za unos u SAP'!$C$3:$C$501,"=12",'Plan rashoda za unos u SAP'!$M$3:$M$501,"=512")</f>
        <v>0</v>
      </c>
      <c r="F60" s="141">
        <f>SUMIFS('Plan rashoda za unos u SAP'!$I$3:$I$501,'Plan rashoda za unos u SAP'!$C$3:$C$501,"=31",'Plan rashoda za unos u SAP'!$M$3:$M$501,"=512")</f>
        <v>0</v>
      </c>
      <c r="G60" s="141">
        <f>SUMIFS('Plan rashoda za unos u SAP'!$I$3:$I$501,'Plan rashoda za unos u SAP'!$C$3:$C$501,"=41",'Plan rashoda za unos u SAP'!$M$3:$M$501,"=512")</f>
        <v>0</v>
      </c>
      <c r="H60" s="141">
        <f>SUMIFS('Plan rashoda za unos u SAP'!$I$3:$I$501,'Plan rashoda za unos u SAP'!$C$3:$C$501,"=43",'Plan rashoda za unos u SAP'!$M$3:$M$501,"=512")</f>
        <v>0</v>
      </c>
      <c r="I60" s="141">
        <f>SUMIFS('Plan rashoda za unos u SAP'!$I$3:$I$501,'Plan rashoda za unos u SAP'!$C$3:$C$501,"=51",'Plan rashoda za unos u SAP'!$M$3:$M$501,"=512")</f>
        <v>0</v>
      </c>
      <c r="J60" s="141">
        <f>SUMIFS('Plan rashoda za unos u SAP'!$I$3:$I$501,'Plan rashoda za unos u SAP'!$C$3:$C$501,"=52",'Plan rashoda za unos u SAP'!$M$3:$M$501,"=512")</f>
        <v>0</v>
      </c>
      <c r="K60" s="141">
        <f>SUMIFS('Plan rashoda za unos u SAP'!$I$3:$I$501,'Plan rashoda za unos u SAP'!$C$3:$C$501,"=552",'Plan rashoda za unos u SAP'!$M$3:$M$501,"=512")</f>
        <v>0</v>
      </c>
      <c r="L60" s="141">
        <f>SUMIFS('Plan rashoda za unos u SAP'!$I$3:$I$501,'Plan rashoda za unos u SAP'!$C$3:$C$501,"=559",'Plan rashoda za unos u SAP'!$M$3:$M$501,"=512")</f>
        <v>0</v>
      </c>
      <c r="M60" s="141">
        <f>SUMIFS('Plan rashoda za unos u SAP'!$I$3:$I$501,'Plan rashoda za unos u SAP'!$C$3:$C$501,"=561",'Plan rashoda za unos u SAP'!$M$3:$M$501,"=512")</f>
        <v>0</v>
      </c>
      <c r="N60" s="141">
        <f>SUMIFS('Plan rashoda za unos u SAP'!$I$3:$I$501,'Plan rashoda za unos u SAP'!$C$3:$C$501,"=563",'Plan rashoda za unos u SAP'!$M$3:$M$501,"=512")</f>
        <v>0</v>
      </c>
      <c r="O60" s="141">
        <f>SUMIFS('Plan rashoda za unos u SAP'!$I$3:$I$501,'Plan rashoda za unos u SAP'!$C$3:$C$501,"=573",'Plan rashoda za unos u SAP'!$M$3:$M$501,"=512")</f>
        <v>0</v>
      </c>
      <c r="P60" s="141">
        <f>SUMIFS('Plan rashoda za unos u SAP'!$I$3:$I$501,'Plan rashoda za unos u SAP'!$C$3:$C$501,"=575",'Plan rashoda za unos u SAP'!$M$3:$M$501,"=512")</f>
        <v>0</v>
      </c>
      <c r="Q60" s="141">
        <f>SUMIFS('Plan rashoda za unos u SAP'!$I$3:$I$501,'Plan rashoda za unos u SAP'!$C$3:$C$501,"=61",'Plan rashoda za unos u SAP'!$M$3:$M$501,"=512")</f>
        <v>0</v>
      </c>
      <c r="R60" s="141">
        <f>SUMIFS('Plan rashoda za unos u SAP'!$I$3:$I$501,'Plan rashoda za unos u SAP'!$C$3:$C$501,"=63",'Plan rashoda za unos u SAP'!$M$3:$M$501,"=512")</f>
        <v>0</v>
      </c>
      <c r="S60" s="141">
        <f>SUMIFS('Plan rashoda za unos u SAP'!$I$3:$I$501,'Plan rashoda za unos u SAP'!$C$3:$C$501,"=71",'Plan rashoda za unos u SAP'!$M$3:$M$501,"=512")</f>
        <v>0</v>
      </c>
      <c r="T60" s="141">
        <f>SUMIFS('Plan rashoda za unos u SAP'!$I$3:$I$501,'Plan rashoda za unos u SAP'!$C$3:$C$501,"=81",'Plan rashoda za unos u SAP'!$M$3:$M$501,"=512")</f>
        <v>0</v>
      </c>
      <c r="U60" s="141">
        <f>SUMIFS('Plan rashoda za unos u SAP'!$I$3:$I$501,'Plan rashoda za unos u SAP'!$C$3:$C$501,"=83",'Plan rashoda za unos u SAP'!$M$3:$M$501,"=512")</f>
        <v>0</v>
      </c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  <c r="IW60" s="74"/>
      <c r="IX60" s="74"/>
      <c r="IY60" s="74"/>
      <c r="IZ60" s="74"/>
      <c r="JA60" s="74"/>
    </row>
    <row r="61" spans="1:261" s="14" customFormat="1" ht="12.6" customHeight="1">
      <c r="A61" s="138">
        <v>514</v>
      </c>
      <c r="B61" s="82" t="s">
        <v>386</v>
      </c>
      <c r="C61" s="79">
        <f t="shared" si="4"/>
        <v>0</v>
      </c>
      <c r="D61" s="141">
        <f>SUMIFS('Plan rashoda za unos u SAP'!$I$3:$I$501,'Plan rashoda za unos u SAP'!$C$3:$C$501,"=11",'Plan rashoda za unos u SAP'!$M$3:$M$501,"=514")</f>
        <v>0</v>
      </c>
      <c r="E61" s="141">
        <f>SUMIFS('Plan rashoda za unos u SAP'!$I$3:$I$501,'Plan rashoda za unos u SAP'!$C$3:$C$501,"=12",'Plan rashoda za unos u SAP'!$M$3:$M$501,"=514")</f>
        <v>0</v>
      </c>
      <c r="F61" s="141">
        <f>SUMIFS('Plan rashoda za unos u SAP'!$I$3:$I$501,'Plan rashoda za unos u SAP'!$C$3:$C$501,"=31",'Plan rashoda za unos u SAP'!$M$3:$M$501,"=514")</f>
        <v>0</v>
      </c>
      <c r="G61" s="141">
        <f>SUMIFS('Plan rashoda za unos u SAP'!$I$3:$I$501,'Plan rashoda za unos u SAP'!$C$3:$C$501,"=41",'Plan rashoda za unos u SAP'!$M$3:$M$501,"=514")</f>
        <v>0</v>
      </c>
      <c r="H61" s="141">
        <f>SUMIFS('Plan rashoda za unos u SAP'!$I$3:$I$501,'Plan rashoda za unos u SAP'!$C$3:$C$501,"=43",'Plan rashoda za unos u SAP'!$M$3:$M$501,"=514")</f>
        <v>0</v>
      </c>
      <c r="I61" s="141">
        <f>SUMIFS('Plan rashoda za unos u SAP'!$I$3:$I$501,'Plan rashoda za unos u SAP'!$C$3:$C$501,"=51",'Plan rashoda za unos u SAP'!$M$3:$M$501,"=514")</f>
        <v>0</v>
      </c>
      <c r="J61" s="141">
        <f>SUMIFS('Plan rashoda za unos u SAP'!$I$3:$I$501,'Plan rashoda za unos u SAP'!$C$3:$C$501,"=52",'Plan rashoda za unos u SAP'!$M$3:$M$501,"=514")</f>
        <v>0</v>
      </c>
      <c r="K61" s="141">
        <f>SUMIFS('Plan rashoda za unos u SAP'!$I$3:$I$501,'Plan rashoda za unos u SAP'!$C$3:$C$501,"=552",'Plan rashoda za unos u SAP'!$M$3:$M$501,"=514")</f>
        <v>0</v>
      </c>
      <c r="L61" s="141">
        <f>SUMIFS('Plan rashoda za unos u SAP'!$I$3:$I$501,'Plan rashoda za unos u SAP'!$C$3:$C$501,"=559",'Plan rashoda za unos u SAP'!$M$3:$M$501,"=514")</f>
        <v>0</v>
      </c>
      <c r="M61" s="141">
        <f>SUMIFS('Plan rashoda za unos u SAP'!$I$3:$I$501,'Plan rashoda za unos u SAP'!$C$3:$C$501,"=561",'Plan rashoda za unos u SAP'!$M$3:$M$501,"=514")</f>
        <v>0</v>
      </c>
      <c r="N61" s="141">
        <f>SUMIFS('Plan rashoda za unos u SAP'!$I$3:$I$501,'Plan rashoda za unos u SAP'!$C$3:$C$501,"=563",'Plan rashoda za unos u SAP'!$M$3:$M$501,"=514")</f>
        <v>0</v>
      </c>
      <c r="O61" s="141">
        <f>SUMIFS('Plan rashoda za unos u SAP'!$I$3:$I$501,'Plan rashoda za unos u SAP'!$C$3:$C$501,"=573",'Plan rashoda za unos u SAP'!$M$3:$M$501,"=514")</f>
        <v>0</v>
      </c>
      <c r="P61" s="141">
        <f>SUMIFS('Plan rashoda za unos u SAP'!$I$3:$I$501,'Plan rashoda za unos u SAP'!$C$3:$C$501,"=575",'Plan rashoda za unos u SAP'!$M$3:$M$501,"=514")</f>
        <v>0</v>
      </c>
      <c r="Q61" s="141">
        <f>SUMIFS('Plan rashoda za unos u SAP'!$I$3:$I$501,'Plan rashoda za unos u SAP'!$C$3:$C$501,"=61",'Plan rashoda za unos u SAP'!$M$3:$M$501,"=514")</f>
        <v>0</v>
      </c>
      <c r="R61" s="141">
        <f>SUMIFS('Plan rashoda za unos u SAP'!$I$3:$I$501,'Plan rashoda za unos u SAP'!$C$3:$C$501,"=63",'Plan rashoda za unos u SAP'!$M$3:$M$501,"=514")</f>
        <v>0</v>
      </c>
      <c r="S61" s="141">
        <f>SUMIFS('Plan rashoda za unos u SAP'!$I$3:$I$501,'Plan rashoda za unos u SAP'!$C$3:$C$501,"=71",'Plan rashoda za unos u SAP'!$M$3:$M$501,"=514")</f>
        <v>0</v>
      </c>
      <c r="T61" s="141">
        <f>SUMIFS('Plan rashoda za unos u SAP'!$I$3:$I$501,'Plan rashoda za unos u SAP'!$C$3:$C$501,"=81",'Plan rashoda za unos u SAP'!$M$3:$M$501,"=514")</f>
        <v>0</v>
      </c>
      <c r="U61" s="141">
        <f>SUMIFS('Plan rashoda za unos u SAP'!$I$3:$I$501,'Plan rashoda za unos u SAP'!$C$3:$C$501,"=83",'Plan rashoda za unos u SAP'!$M$3:$M$501,"=514")</f>
        <v>0</v>
      </c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3"/>
      <c r="GF61" s="73"/>
      <c r="GG61" s="73"/>
      <c r="GH61" s="73"/>
      <c r="GI61" s="73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  <c r="IW61" s="74"/>
      <c r="IX61" s="74"/>
      <c r="IY61" s="74"/>
      <c r="IZ61" s="74"/>
      <c r="JA61" s="74"/>
    </row>
    <row r="62" spans="1:261" s="14" customFormat="1" ht="12.6" customHeight="1">
      <c r="A62" s="138">
        <v>518</v>
      </c>
      <c r="B62" s="82" t="s">
        <v>387</v>
      </c>
      <c r="C62" s="79">
        <f t="shared" si="4"/>
        <v>0</v>
      </c>
      <c r="D62" s="141">
        <f>SUMIFS('Plan rashoda za unos u SAP'!$I$3:$I$501,'Plan rashoda za unos u SAP'!$C$3:$C$501,"=11",'Plan rashoda za unos u SAP'!$M$3:$M$501,"=518")</f>
        <v>0</v>
      </c>
      <c r="E62" s="141">
        <f>SUMIFS('Plan rashoda za unos u SAP'!$I$3:$I$501,'Plan rashoda za unos u SAP'!$C$3:$C$501,"=12",'Plan rashoda za unos u SAP'!$M$3:$M$501,"=518")</f>
        <v>0</v>
      </c>
      <c r="F62" s="141">
        <f>SUMIFS('Plan rashoda za unos u SAP'!$I$3:$I$501,'Plan rashoda za unos u SAP'!$C$3:$C$501,"=31",'Plan rashoda za unos u SAP'!$M$3:$M$501,"=518")</f>
        <v>0</v>
      </c>
      <c r="G62" s="141">
        <f>SUMIFS('Plan rashoda za unos u SAP'!$I$3:$I$501,'Plan rashoda za unos u SAP'!$C$3:$C$501,"=41",'Plan rashoda za unos u SAP'!$M$3:$M$501,"=518")</f>
        <v>0</v>
      </c>
      <c r="H62" s="141">
        <f>SUMIFS('Plan rashoda za unos u SAP'!$I$3:$I$501,'Plan rashoda za unos u SAP'!$C$3:$C$501,"=43",'Plan rashoda za unos u SAP'!$M$3:$M$501,"=518")</f>
        <v>0</v>
      </c>
      <c r="I62" s="141">
        <f>SUMIFS('Plan rashoda za unos u SAP'!$I$3:$I$501,'Plan rashoda za unos u SAP'!$C$3:$C$501,"=51",'Plan rashoda za unos u SAP'!$M$3:$M$501,"=518")</f>
        <v>0</v>
      </c>
      <c r="J62" s="141">
        <f>SUMIFS('Plan rashoda za unos u SAP'!$I$3:$I$501,'Plan rashoda za unos u SAP'!$C$3:$C$501,"=52",'Plan rashoda za unos u SAP'!$M$3:$M$501,"=518")</f>
        <v>0</v>
      </c>
      <c r="K62" s="141">
        <f>SUMIFS('Plan rashoda za unos u SAP'!$I$3:$I$501,'Plan rashoda za unos u SAP'!$C$3:$C$501,"=552",'Plan rashoda za unos u SAP'!$M$3:$M$501,"=518")</f>
        <v>0</v>
      </c>
      <c r="L62" s="141">
        <f>SUMIFS('Plan rashoda za unos u SAP'!$I$3:$I$501,'Plan rashoda za unos u SAP'!$C$3:$C$501,"=559",'Plan rashoda za unos u SAP'!$M$3:$M$501,"=518")</f>
        <v>0</v>
      </c>
      <c r="M62" s="141">
        <f>SUMIFS('Plan rashoda za unos u SAP'!$I$3:$I$501,'Plan rashoda za unos u SAP'!$C$3:$C$501,"=561",'Plan rashoda za unos u SAP'!$M$3:$M$501,"=518")</f>
        <v>0</v>
      </c>
      <c r="N62" s="141">
        <f>SUMIFS('Plan rashoda za unos u SAP'!$I$3:$I$501,'Plan rashoda za unos u SAP'!$C$3:$C$501,"=563",'Plan rashoda za unos u SAP'!$M$3:$M$501,"=518")</f>
        <v>0</v>
      </c>
      <c r="O62" s="141">
        <f>SUMIFS('Plan rashoda za unos u SAP'!$I$3:$I$501,'Plan rashoda za unos u SAP'!$C$3:$C$501,"=573",'Plan rashoda za unos u SAP'!$M$3:$M$501,"=518")</f>
        <v>0</v>
      </c>
      <c r="P62" s="141">
        <f>SUMIFS('Plan rashoda za unos u SAP'!$I$3:$I$501,'Plan rashoda za unos u SAP'!$C$3:$C$501,"=575",'Plan rashoda za unos u SAP'!$M$3:$M$501,"=518")</f>
        <v>0</v>
      </c>
      <c r="Q62" s="141">
        <f>SUMIFS('Plan rashoda za unos u SAP'!$I$3:$I$501,'Plan rashoda za unos u SAP'!$C$3:$C$501,"=61",'Plan rashoda za unos u SAP'!$M$3:$M$501,"=518")</f>
        <v>0</v>
      </c>
      <c r="R62" s="141">
        <f>SUMIFS('Plan rashoda za unos u SAP'!$I$3:$I$501,'Plan rashoda za unos u SAP'!$C$3:$C$501,"=63",'Plan rashoda za unos u SAP'!$M$3:$M$501,"=518")</f>
        <v>0</v>
      </c>
      <c r="S62" s="141">
        <f>SUMIFS('Plan rashoda za unos u SAP'!$I$3:$I$501,'Plan rashoda za unos u SAP'!$C$3:$C$501,"=71",'Plan rashoda za unos u SAP'!$M$3:$M$501,"=518")</f>
        <v>0</v>
      </c>
      <c r="T62" s="141">
        <f>SUMIFS('Plan rashoda za unos u SAP'!$I$3:$I$501,'Plan rashoda za unos u SAP'!$C$3:$C$501,"=81",'Plan rashoda za unos u SAP'!$M$3:$M$501,"=518")</f>
        <v>0</v>
      </c>
      <c r="U62" s="141">
        <f>SUMIFS('Plan rashoda za unos u SAP'!$I$3:$I$501,'Plan rashoda za unos u SAP'!$C$3:$C$501,"=83",'Plan rashoda za unos u SAP'!$M$3:$M$501,"=518")</f>
        <v>0</v>
      </c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3"/>
      <c r="GF62" s="73"/>
      <c r="GG62" s="73"/>
      <c r="GH62" s="73"/>
      <c r="GI62" s="73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  <c r="IW62" s="74"/>
      <c r="IX62" s="74"/>
      <c r="IY62" s="74"/>
      <c r="IZ62" s="74"/>
      <c r="JA62" s="74"/>
    </row>
    <row r="63" spans="1:261" s="14" customFormat="1" ht="12.6" customHeight="1">
      <c r="A63" s="11">
        <v>54</v>
      </c>
      <c r="B63" s="12" t="s">
        <v>380</v>
      </c>
      <c r="C63" s="79">
        <f t="shared" si="4"/>
        <v>0</v>
      </c>
      <c r="D63" s="13">
        <f>SUM(D64:D68)</f>
        <v>0</v>
      </c>
      <c r="E63" s="13">
        <f t="shared" ref="E63:U63" si="68">SUM(E64:E68)</f>
        <v>0</v>
      </c>
      <c r="F63" s="13">
        <f t="shared" si="68"/>
        <v>0</v>
      </c>
      <c r="G63" s="13">
        <f t="shared" ref="G63" si="69">SUM(G64:G68)</f>
        <v>0</v>
      </c>
      <c r="H63" s="13">
        <f t="shared" si="68"/>
        <v>0</v>
      </c>
      <c r="I63" s="13">
        <f>SUM(I64:I68)</f>
        <v>0</v>
      </c>
      <c r="J63" s="13">
        <f t="shared" si="68"/>
        <v>0</v>
      </c>
      <c r="K63" s="13">
        <f t="shared" ref="K63" si="70">SUM(K64:K68)</f>
        <v>0</v>
      </c>
      <c r="L63" s="13">
        <f t="shared" si="68"/>
        <v>0</v>
      </c>
      <c r="M63" s="13">
        <f t="shared" si="68"/>
        <v>0</v>
      </c>
      <c r="N63" s="13">
        <f t="shared" si="68"/>
        <v>0</v>
      </c>
      <c r="O63" s="13">
        <f t="shared" ref="O63:P63" si="71">SUM(O64:O68)</f>
        <v>0</v>
      </c>
      <c r="P63" s="13">
        <f t="shared" si="71"/>
        <v>0</v>
      </c>
      <c r="Q63" s="13">
        <f t="shared" si="68"/>
        <v>0</v>
      </c>
      <c r="R63" s="13">
        <f t="shared" si="68"/>
        <v>0</v>
      </c>
      <c r="S63" s="13">
        <f t="shared" si="68"/>
        <v>0</v>
      </c>
      <c r="T63" s="13">
        <f t="shared" si="68"/>
        <v>0</v>
      </c>
      <c r="U63" s="13">
        <f t="shared" si="68"/>
        <v>0</v>
      </c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0"/>
      <c r="GF63" s="80"/>
      <c r="GG63" s="80"/>
      <c r="GH63" s="80"/>
      <c r="GI63" s="80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  <c r="IW63" s="81"/>
      <c r="IX63" s="81"/>
      <c r="IY63" s="81"/>
      <c r="IZ63" s="81"/>
      <c r="JA63" s="81"/>
    </row>
    <row r="64" spans="1:261" s="14" customFormat="1" ht="12.6" customHeight="1">
      <c r="A64" s="84">
        <v>542</v>
      </c>
      <c r="B64" s="9" t="s">
        <v>388</v>
      </c>
      <c r="C64" s="79">
        <f t="shared" si="4"/>
        <v>0</v>
      </c>
      <c r="D64" s="141">
        <f>SUMIFS('Plan rashoda za unos u SAP'!$I$3:$I$501,'Plan rashoda za unos u SAP'!$C$3:$C$501,"=11",'Plan rashoda za unos u SAP'!$M$3:$M$501,"=542")</f>
        <v>0</v>
      </c>
      <c r="E64" s="141">
        <f>SUMIFS('Plan rashoda za unos u SAP'!$I$3:$I$501,'Plan rashoda za unos u SAP'!$C$3:$C$501,"=12",'Plan rashoda za unos u SAP'!$M$3:$M$501,"=542")</f>
        <v>0</v>
      </c>
      <c r="F64" s="141">
        <f>SUMIFS('Plan rashoda za unos u SAP'!$I$3:$I$501,'Plan rashoda za unos u SAP'!$C$3:$C$501,"=31",'Plan rashoda za unos u SAP'!$M$3:$M$501,"=542")</f>
        <v>0</v>
      </c>
      <c r="G64" s="141">
        <f>SUMIFS('Plan rashoda za unos u SAP'!$I$3:$I$501,'Plan rashoda za unos u SAP'!$C$3:$C$501,"=41",'Plan rashoda za unos u SAP'!$M$3:$M$501,"=542")</f>
        <v>0</v>
      </c>
      <c r="H64" s="141">
        <f>SUMIFS('Plan rashoda za unos u SAP'!$I$3:$I$501,'Plan rashoda za unos u SAP'!$C$3:$C$501,"=43",'Plan rashoda za unos u SAP'!$M$3:$M$501,"=542")</f>
        <v>0</v>
      </c>
      <c r="I64" s="141">
        <f>SUMIFS('Plan rashoda za unos u SAP'!$I$3:$I$501,'Plan rashoda za unos u SAP'!$C$3:$C$501,"=51",'Plan rashoda za unos u SAP'!$M$3:$M$501,"=542")</f>
        <v>0</v>
      </c>
      <c r="J64" s="141">
        <f>SUMIFS('Plan rashoda za unos u SAP'!$I$3:$I$501,'Plan rashoda za unos u SAP'!$C$3:$C$501,"=52",'Plan rashoda za unos u SAP'!$M$3:$M$501,"=542")</f>
        <v>0</v>
      </c>
      <c r="K64" s="141">
        <f>SUMIFS('Plan rashoda za unos u SAP'!$I$3:$I$501,'Plan rashoda za unos u SAP'!$C$3:$C$501,"=552",'Plan rashoda za unos u SAP'!$M$3:$M$501,"=542")</f>
        <v>0</v>
      </c>
      <c r="L64" s="141">
        <f>SUMIFS('Plan rashoda za unos u SAP'!$I$3:$I$501,'Plan rashoda za unos u SAP'!$C$3:$C$501,"=559",'Plan rashoda za unos u SAP'!$M$3:$M$501,"=542")</f>
        <v>0</v>
      </c>
      <c r="M64" s="141">
        <f>SUMIFS('Plan rashoda za unos u SAP'!$I$3:$I$501,'Plan rashoda za unos u SAP'!$C$3:$C$501,"=561",'Plan rashoda za unos u SAP'!$M$3:$M$501,"=542")</f>
        <v>0</v>
      </c>
      <c r="N64" s="141">
        <f>SUMIFS('Plan rashoda za unos u SAP'!$I$3:$I$501,'Plan rashoda za unos u SAP'!$C$3:$C$501,"=563",'Plan rashoda za unos u SAP'!$M$3:$M$501,"=542")</f>
        <v>0</v>
      </c>
      <c r="O64" s="141">
        <f>SUMIFS('Plan rashoda za unos u SAP'!$I$3:$I$501,'Plan rashoda za unos u SAP'!$C$3:$C$501,"=573",'Plan rashoda za unos u SAP'!$M$3:$M$501,"=542")</f>
        <v>0</v>
      </c>
      <c r="P64" s="141">
        <f>SUMIFS('Plan rashoda za unos u SAP'!$I$3:$I$501,'Plan rashoda za unos u SAP'!$C$3:$C$501,"=575",'Plan rashoda za unos u SAP'!$M$3:$M$501,"=542")</f>
        <v>0</v>
      </c>
      <c r="Q64" s="141">
        <f>SUMIFS('Plan rashoda za unos u SAP'!$I$3:$I$501,'Plan rashoda za unos u SAP'!$C$3:$C$501,"=61",'Plan rashoda za unos u SAP'!$M$3:$M$501,"=542")</f>
        <v>0</v>
      </c>
      <c r="R64" s="141">
        <f>SUMIFS('Plan rashoda za unos u SAP'!$I$3:$I$501,'Plan rashoda za unos u SAP'!$C$3:$C$501,"=63",'Plan rashoda za unos u SAP'!$M$3:$M$501,"=542")</f>
        <v>0</v>
      </c>
      <c r="S64" s="141">
        <f>SUMIFS('Plan rashoda za unos u SAP'!$I$3:$I$501,'Plan rashoda za unos u SAP'!$C$3:$C$501,"=71",'Plan rashoda za unos u SAP'!$M$3:$M$501,"=542")</f>
        <v>0</v>
      </c>
      <c r="T64" s="141">
        <f>SUMIFS('Plan rashoda za unos u SAP'!$I$3:$I$501,'Plan rashoda za unos u SAP'!$C$3:$C$501,"=81",'Plan rashoda za unos u SAP'!$M$3:$M$501,"=542")</f>
        <v>0</v>
      </c>
      <c r="U64" s="141">
        <f>SUMIFS('Plan rashoda za unos u SAP'!$I$3:$I$501,'Plan rashoda za unos u SAP'!$C$3:$C$501,"=83",'Plan rashoda za unos u SAP'!$M$3:$M$501,"=542")</f>
        <v>0</v>
      </c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3"/>
      <c r="GF64" s="73"/>
      <c r="GG64" s="73"/>
      <c r="GH64" s="73"/>
      <c r="GI64" s="73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</row>
    <row r="65" spans="1:261" s="14" customFormat="1" ht="12.6" customHeight="1">
      <c r="A65" s="84">
        <v>543</v>
      </c>
      <c r="B65" s="9" t="s">
        <v>389</v>
      </c>
      <c r="C65" s="79">
        <f t="shared" si="4"/>
        <v>0</v>
      </c>
      <c r="D65" s="141">
        <f>SUMIFS('Plan rashoda za unos u SAP'!$I$3:$I$501,'Plan rashoda za unos u SAP'!$C$3:$C$501,"=11",'Plan rashoda za unos u SAP'!$M$3:$M$501,"=543")</f>
        <v>0</v>
      </c>
      <c r="E65" s="141">
        <f>SUMIFS('Plan rashoda za unos u SAP'!$I$3:$I$501,'Plan rashoda za unos u SAP'!$C$3:$C$501,"=12",'Plan rashoda za unos u SAP'!$M$3:$M$501,"=543")</f>
        <v>0</v>
      </c>
      <c r="F65" s="141">
        <f>SUMIFS('Plan rashoda za unos u SAP'!$I$3:$I$501,'Plan rashoda za unos u SAP'!$C$3:$C$501,"=31",'Plan rashoda za unos u SAP'!$M$3:$M$501,"=543")</f>
        <v>0</v>
      </c>
      <c r="G65" s="141">
        <f>SUMIFS('Plan rashoda za unos u SAP'!$I$3:$I$501,'Plan rashoda za unos u SAP'!$C$3:$C$501,"=41",'Plan rashoda za unos u SAP'!$M$3:$M$501,"=543")</f>
        <v>0</v>
      </c>
      <c r="H65" s="141">
        <f>SUMIFS('Plan rashoda za unos u SAP'!$I$3:$I$501,'Plan rashoda za unos u SAP'!$C$3:$C$501,"=43",'Plan rashoda za unos u SAP'!$M$3:$M$501,"=543")</f>
        <v>0</v>
      </c>
      <c r="I65" s="141">
        <f>SUMIFS('Plan rashoda za unos u SAP'!$I$3:$I$501,'Plan rashoda za unos u SAP'!$C$3:$C$501,"=51",'Plan rashoda za unos u SAP'!$M$3:$M$501,"=543")</f>
        <v>0</v>
      </c>
      <c r="J65" s="141">
        <f>SUMIFS('Plan rashoda za unos u SAP'!$I$3:$I$501,'Plan rashoda za unos u SAP'!$C$3:$C$501,"=52",'Plan rashoda za unos u SAP'!$M$3:$M$501,"=543")</f>
        <v>0</v>
      </c>
      <c r="K65" s="141">
        <f>SUMIFS('Plan rashoda za unos u SAP'!$I$3:$I$501,'Plan rashoda za unos u SAP'!$C$3:$C$501,"=552",'Plan rashoda za unos u SAP'!$M$3:$M$501,"=543")</f>
        <v>0</v>
      </c>
      <c r="L65" s="141">
        <f>SUMIFS('Plan rashoda za unos u SAP'!$I$3:$I$501,'Plan rashoda za unos u SAP'!$C$3:$C$501,"=559",'Plan rashoda za unos u SAP'!$M$3:$M$501,"=543")</f>
        <v>0</v>
      </c>
      <c r="M65" s="141">
        <f>SUMIFS('Plan rashoda za unos u SAP'!$I$3:$I$501,'Plan rashoda za unos u SAP'!$C$3:$C$501,"=561",'Plan rashoda za unos u SAP'!$M$3:$M$501,"=543")</f>
        <v>0</v>
      </c>
      <c r="N65" s="141">
        <f>SUMIFS('Plan rashoda za unos u SAP'!$I$3:$I$501,'Plan rashoda za unos u SAP'!$C$3:$C$501,"=563",'Plan rashoda za unos u SAP'!$M$3:$M$501,"=543")</f>
        <v>0</v>
      </c>
      <c r="O65" s="141">
        <f>SUMIFS('Plan rashoda za unos u SAP'!$I$3:$I$501,'Plan rashoda za unos u SAP'!$C$3:$C$501,"=573",'Plan rashoda za unos u SAP'!$M$3:$M$501,"=543")</f>
        <v>0</v>
      </c>
      <c r="P65" s="141">
        <f>SUMIFS('Plan rashoda za unos u SAP'!$I$3:$I$501,'Plan rashoda za unos u SAP'!$C$3:$C$501,"=575",'Plan rashoda za unos u SAP'!$M$3:$M$501,"=543")</f>
        <v>0</v>
      </c>
      <c r="Q65" s="141">
        <f>SUMIFS('Plan rashoda za unos u SAP'!$I$3:$I$501,'Plan rashoda za unos u SAP'!$C$3:$C$501,"=61",'Plan rashoda za unos u SAP'!$M$3:$M$501,"=543")</f>
        <v>0</v>
      </c>
      <c r="R65" s="141">
        <f>SUMIFS('Plan rashoda za unos u SAP'!$I$3:$I$501,'Plan rashoda za unos u SAP'!$C$3:$C$501,"=63",'Plan rashoda za unos u SAP'!$M$3:$M$501,"=543")</f>
        <v>0</v>
      </c>
      <c r="S65" s="141">
        <f>SUMIFS('Plan rashoda za unos u SAP'!$I$3:$I$501,'Plan rashoda za unos u SAP'!$C$3:$C$501,"=71",'Plan rashoda za unos u SAP'!$M$3:$M$501,"=543")</f>
        <v>0</v>
      </c>
      <c r="T65" s="141">
        <f>SUMIFS('Plan rashoda za unos u SAP'!$I$3:$I$501,'Plan rashoda za unos u SAP'!$C$3:$C$501,"=81",'Plan rashoda za unos u SAP'!$M$3:$M$501,"=543")</f>
        <v>0</v>
      </c>
      <c r="U65" s="141">
        <f>SUMIFS('Plan rashoda za unos u SAP'!$I$3:$I$501,'Plan rashoda za unos u SAP'!$C$3:$C$501,"=83",'Plan rashoda za unos u SAP'!$M$3:$M$501,"=543")</f>
        <v>0</v>
      </c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3"/>
      <c r="GF65" s="73"/>
      <c r="GG65" s="73"/>
      <c r="GH65" s="73"/>
      <c r="GI65" s="73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</row>
    <row r="66" spans="1:261" s="14" customFormat="1" ht="12.6" customHeight="1">
      <c r="A66" s="84">
        <v>544</v>
      </c>
      <c r="B66" s="9" t="s">
        <v>390</v>
      </c>
      <c r="C66" s="79">
        <f t="shared" si="4"/>
        <v>0</v>
      </c>
      <c r="D66" s="141">
        <f>SUMIFS('Plan rashoda za unos u SAP'!$I$3:$I$501,'Plan rashoda za unos u SAP'!$C$3:$C$501,"=11",'Plan rashoda za unos u SAP'!$M$3:$M$501,"=544")</f>
        <v>0</v>
      </c>
      <c r="E66" s="141">
        <f>SUMIFS('Plan rashoda za unos u SAP'!$I$3:$I$501,'Plan rashoda za unos u SAP'!$C$3:$C$501,"=12",'Plan rashoda za unos u SAP'!$M$3:$M$501,"=544")</f>
        <v>0</v>
      </c>
      <c r="F66" s="141">
        <f>SUMIFS('Plan rashoda za unos u SAP'!$I$3:$I$501,'Plan rashoda za unos u SAP'!$C$3:$C$501,"=31",'Plan rashoda za unos u SAP'!$M$3:$M$501,"=544")</f>
        <v>0</v>
      </c>
      <c r="G66" s="141">
        <f>SUMIFS('Plan rashoda za unos u SAP'!$I$3:$I$501,'Plan rashoda za unos u SAP'!$C$3:$C$501,"=41",'Plan rashoda za unos u SAP'!$M$3:$M$501,"=544")</f>
        <v>0</v>
      </c>
      <c r="H66" s="141">
        <f>SUMIFS('Plan rashoda za unos u SAP'!$I$3:$I$501,'Plan rashoda za unos u SAP'!$C$3:$C$501,"=43",'Plan rashoda za unos u SAP'!$M$3:$M$501,"=544")</f>
        <v>0</v>
      </c>
      <c r="I66" s="141">
        <f>SUMIFS('Plan rashoda za unos u SAP'!$I$3:$I$501,'Plan rashoda za unos u SAP'!$C$3:$C$501,"=51",'Plan rashoda za unos u SAP'!$M$3:$M$501,"=544")</f>
        <v>0</v>
      </c>
      <c r="J66" s="141">
        <f>SUMIFS('Plan rashoda za unos u SAP'!$I$3:$I$501,'Plan rashoda za unos u SAP'!$C$3:$C$501,"=52",'Plan rashoda za unos u SAP'!$M$3:$M$501,"=544")</f>
        <v>0</v>
      </c>
      <c r="K66" s="141">
        <f>SUMIFS('Plan rashoda za unos u SAP'!$I$3:$I$501,'Plan rashoda za unos u SAP'!$C$3:$C$501,"=552",'Plan rashoda za unos u SAP'!$M$3:$M$501,"=544")</f>
        <v>0</v>
      </c>
      <c r="L66" s="141">
        <f>SUMIFS('Plan rashoda za unos u SAP'!$I$3:$I$501,'Plan rashoda za unos u SAP'!$C$3:$C$501,"=559",'Plan rashoda za unos u SAP'!$M$3:$M$501,"=544")</f>
        <v>0</v>
      </c>
      <c r="M66" s="141">
        <f>SUMIFS('Plan rashoda za unos u SAP'!$I$3:$I$501,'Plan rashoda za unos u SAP'!$C$3:$C$501,"=561",'Plan rashoda za unos u SAP'!$M$3:$M$501,"=544")</f>
        <v>0</v>
      </c>
      <c r="N66" s="141">
        <f>SUMIFS('Plan rashoda za unos u SAP'!$I$3:$I$501,'Plan rashoda za unos u SAP'!$C$3:$C$501,"=563",'Plan rashoda za unos u SAP'!$M$3:$M$501,"=544")</f>
        <v>0</v>
      </c>
      <c r="O66" s="141">
        <f>SUMIFS('Plan rashoda za unos u SAP'!$I$3:$I$501,'Plan rashoda za unos u SAP'!$C$3:$C$501,"=573",'Plan rashoda za unos u SAP'!$M$3:$M$501,"=544")</f>
        <v>0</v>
      </c>
      <c r="P66" s="141">
        <f>SUMIFS('Plan rashoda za unos u SAP'!$I$3:$I$501,'Plan rashoda za unos u SAP'!$C$3:$C$501,"=575",'Plan rashoda za unos u SAP'!$M$3:$M$501,"=544")</f>
        <v>0</v>
      </c>
      <c r="Q66" s="141">
        <f>SUMIFS('Plan rashoda za unos u SAP'!$I$3:$I$501,'Plan rashoda za unos u SAP'!$C$3:$C$501,"=61",'Plan rashoda za unos u SAP'!$M$3:$M$501,"=544")</f>
        <v>0</v>
      </c>
      <c r="R66" s="141">
        <f>SUMIFS('Plan rashoda za unos u SAP'!$I$3:$I$501,'Plan rashoda za unos u SAP'!$C$3:$C$501,"=63",'Plan rashoda za unos u SAP'!$M$3:$M$501,"=544")</f>
        <v>0</v>
      </c>
      <c r="S66" s="141">
        <f>SUMIFS('Plan rashoda za unos u SAP'!$I$3:$I$501,'Plan rashoda za unos u SAP'!$C$3:$C$501,"=71",'Plan rashoda za unos u SAP'!$M$3:$M$501,"=544")</f>
        <v>0</v>
      </c>
      <c r="T66" s="141">
        <f>SUMIFS('Plan rashoda za unos u SAP'!$I$3:$I$501,'Plan rashoda za unos u SAP'!$C$3:$C$501,"=81",'Plan rashoda za unos u SAP'!$M$3:$M$501,"=544")</f>
        <v>0</v>
      </c>
      <c r="U66" s="141">
        <f>SUMIFS('Plan rashoda za unos u SAP'!$I$3:$I$501,'Plan rashoda za unos u SAP'!$C$3:$C$501,"=83",'Plan rashoda za unos u SAP'!$M$3:$M$501,"=544")</f>
        <v>0</v>
      </c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3"/>
      <c r="GF66" s="73"/>
      <c r="GG66" s="73"/>
      <c r="GH66" s="73"/>
      <c r="GI66" s="73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  <c r="IW66" s="74"/>
      <c r="IX66" s="74"/>
      <c r="IY66" s="74"/>
      <c r="IZ66" s="74"/>
      <c r="JA66" s="74"/>
    </row>
    <row r="67" spans="1:261" s="14" customFormat="1" ht="12.6" customHeight="1">
      <c r="A67" s="84">
        <v>545</v>
      </c>
      <c r="B67" s="9" t="s">
        <v>391</v>
      </c>
      <c r="C67" s="79">
        <f t="shared" si="4"/>
        <v>0</v>
      </c>
      <c r="D67" s="141">
        <f>SUMIFS('Plan rashoda za unos u SAP'!$I$3:$I$501,'Plan rashoda za unos u SAP'!$C$3:$C$501,"=11",'Plan rashoda za unos u SAP'!$M$3:$M$501,"=545")</f>
        <v>0</v>
      </c>
      <c r="E67" s="141">
        <f>SUMIFS('Plan rashoda za unos u SAP'!$I$3:$I$501,'Plan rashoda za unos u SAP'!$C$3:$C$501,"=12",'Plan rashoda za unos u SAP'!$M$3:$M$501,"=545")</f>
        <v>0</v>
      </c>
      <c r="F67" s="141">
        <f>SUMIFS('Plan rashoda za unos u SAP'!$I$3:$I$501,'Plan rashoda za unos u SAP'!$C$3:$C$501,"=31",'Plan rashoda za unos u SAP'!$M$3:$M$501,"=545")</f>
        <v>0</v>
      </c>
      <c r="G67" s="141">
        <f>SUMIFS('Plan rashoda za unos u SAP'!$I$3:$I$501,'Plan rashoda za unos u SAP'!$C$3:$C$501,"=41",'Plan rashoda za unos u SAP'!$M$3:$M$501,"=545")</f>
        <v>0</v>
      </c>
      <c r="H67" s="141">
        <f>SUMIFS('Plan rashoda za unos u SAP'!$I$3:$I$501,'Plan rashoda za unos u SAP'!$C$3:$C$501,"=43",'Plan rashoda za unos u SAP'!$M$3:$M$501,"=545")</f>
        <v>0</v>
      </c>
      <c r="I67" s="141">
        <f>SUMIFS('Plan rashoda za unos u SAP'!$I$3:$I$501,'Plan rashoda za unos u SAP'!$C$3:$C$501,"=51",'Plan rashoda za unos u SAP'!$M$3:$M$501,"=545")</f>
        <v>0</v>
      </c>
      <c r="J67" s="141">
        <f>SUMIFS('Plan rashoda za unos u SAP'!$I$3:$I$501,'Plan rashoda za unos u SAP'!$C$3:$C$501,"=52",'Plan rashoda za unos u SAP'!$M$3:$M$501,"=545")</f>
        <v>0</v>
      </c>
      <c r="K67" s="141">
        <f>SUMIFS('Plan rashoda za unos u SAP'!$I$3:$I$501,'Plan rashoda za unos u SAP'!$C$3:$C$501,"=552",'Plan rashoda za unos u SAP'!$M$3:$M$501,"=545")</f>
        <v>0</v>
      </c>
      <c r="L67" s="141">
        <f>SUMIFS('Plan rashoda za unos u SAP'!$I$3:$I$501,'Plan rashoda za unos u SAP'!$C$3:$C$501,"=559",'Plan rashoda za unos u SAP'!$M$3:$M$501,"=545")</f>
        <v>0</v>
      </c>
      <c r="M67" s="141">
        <f>SUMIFS('Plan rashoda za unos u SAP'!$I$3:$I$501,'Plan rashoda za unos u SAP'!$C$3:$C$501,"=561",'Plan rashoda za unos u SAP'!$M$3:$M$501,"=545")</f>
        <v>0</v>
      </c>
      <c r="N67" s="141">
        <f>SUMIFS('Plan rashoda za unos u SAP'!$I$3:$I$501,'Plan rashoda za unos u SAP'!$C$3:$C$501,"=563",'Plan rashoda za unos u SAP'!$M$3:$M$501,"=545")</f>
        <v>0</v>
      </c>
      <c r="O67" s="141">
        <f>SUMIFS('Plan rashoda za unos u SAP'!$I$3:$I$501,'Plan rashoda za unos u SAP'!$C$3:$C$501,"=573",'Plan rashoda za unos u SAP'!$M$3:$M$501,"=545")</f>
        <v>0</v>
      </c>
      <c r="P67" s="141">
        <f>SUMIFS('Plan rashoda za unos u SAP'!$I$3:$I$501,'Plan rashoda za unos u SAP'!$C$3:$C$501,"=575",'Plan rashoda za unos u SAP'!$M$3:$M$501,"=545")</f>
        <v>0</v>
      </c>
      <c r="Q67" s="141">
        <f>SUMIFS('Plan rashoda za unos u SAP'!$I$3:$I$501,'Plan rashoda za unos u SAP'!$C$3:$C$501,"=61",'Plan rashoda za unos u SAP'!$M$3:$M$501,"=545")</f>
        <v>0</v>
      </c>
      <c r="R67" s="141">
        <f>SUMIFS('Plan rashoda za unos u SAP'!$I$3:$I$501,'Plan rashoda za unos u SAP'!$C$3:$C$501,"=63",'Plan rashoda za unos u SAP'!$M$3:$M$501,"=545")</f>
        <v>0</v>
      </c>
      <c r="S67" s="141">
        <f>SUMIFS('Plan rashoda za unos u SAP'!$I$3:$I$501,'Plan rashoda za unos u SAP'!$C$3:$C$501,"=71",'Plan rashoda za unos u SAP'!$M$3:$M$501,"=545")</f>
        <v>0</v>
      </c>
      <c r="T67" s="141">
        <f>SUMIFS('Plan rashoda za unos u SAP'!$I$3:$I$501,'Plan rashoda za unos u SAP'!$C$3:$C$501,"=81",'Plan rashoda za unos u SAP'!$M$3:$M$501,"=545")</f>
        <v>0</v>
      </c>
      <c r="U67" s="141">
        <f>SUMIFS('Plan rashoda za unos u SAP'!$I$3:$I$501,'Plan rashoda za unos u SAP'!$C$3:$C$501,"=83",'Plan rashoda za unos u SAP'!$M$3:$M$501,"=545")</f>
        <v>0</v>
      </c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</row>
    <row r="68" spans="1:261" s="14" customFormat="1" ht="12.6" customHeight="1">
      <c r="A68" s="84">
        <v>547</v>
      </c>
      <c r="B68" s="9" t="s">
        <v>392</v>
      </c>
      <c r="C68" s="79">
        <f t="shared" ref="C68" si="72">SUM(D68:U68)</f>
        <v>0</v>
      </c>
      <c r="D68" s="141">
        <f>SUMIFS('Plan rashoda za unos u SAP'!$I$3:$I$501,'Plan rashoda za unos u SAP'!$C$3:$C$501,"=11",'Plan rashoda za unos u SAP'!$M$3:$M$501,"=547")</f>
        <v>0</v>
      </c>
      <c r="E68" s="141">
        <f>SUMIFS('Plan rashoda za unos u SAP'!$I$3:$I$501,'Plan rashoda za unos u SAP'!$C$3:$C$501,"=12",'Plan rashoda za unos u SAP'!$M$3:$M$501,"=547")</f>
        <v>0</v>
      </c>
      <c r="F68" s="141">
        <f>SUMIFS('Plan rashoda za unos u SAP'!$I$3:$I$501,'Plan rashoda za unos u SAP'!$C$3:$C$501,"=31",'Plan rashoda za unos u SAP'!$M$3:$M$501,"=547")</f>
        <v>0</v>
      </c>
      <c r="G68" s="141">
        <f>SUMIFS('Plan rashoda za unos u SAP'!$I$3:$I$501,'Plan rashoda za unos u SAP'!$C$3:$C$501,"=41",'Plan rashoda za unos u SAP'!$M$3:$M$501,"=547")</f>
        <v>0</v>
      </c>
      <c r="H68" s="141">
        <f>SUMIFS('Plan rashoda za unos u SAP'!$I$3:$I$501,'Plan rashoda za unos u SAP'!$C$3:$C$501,"=43",'Plan rashoda za unos u SAP'!$M$3:$M$501,"=547")</f>
        <v>0</v>
      </c>
      <c r="I68" s="141">
        <f>SUMIFS('Plan rashoda za unos u SAP'!$I$3:$I$501,'Plan rashoda za unos u SAP'!$C$3:$C$501,"=51",'Plan rashoda za unos u SAP'!$M$3:$M$501,"=547")</f>
        <v>0</v>
      </c>
      <c r="J68" s="141">
        <f>SUMIFS('Plan rashoda za unos u SAP'!$I$3:$I$501,'Plan rashoda za unos u SAP'!$C$3:$C$501,"=52",'Plan rashoda za unos u SAP'!$M$3:$M$501,"=547")</f>
        <v>0</v>
      </c>
      <c r="K68" s="141">
        <f>SUMIFS('Plan rashoda za unos u SAP'!$I$3:$I$501,'Plan rashoda za unos u SAP'!$C$3:$C$501,"=552",'Plan rashoda za unos u SAP'!$M$3:$M$501,"=547")</f>
        <v>0</v>
      </c>
      <c r="L68" s="141">
        <f>SUMIFS('Plan rashoda za unos u SAP'!$I$3:$I$501,'Plan rashoda za unos u SAP'!$C$3:$C$501,"=559",'Plan rashoda za unos u SAP'!$M$3:$M$501,"=547")</f>
        <v>0</v>
      </c>
      <c r="M68" s="141">
        <f>SUMIFS('Plan rashoda za unos u SAP'!$I$3:$I$501,'Plan rashoda za unos u SAP'!$C$3:$C$501,"=561",'Plan rashoda za unos u SAP'!$M$3:$M$501,"=547")</f>
        <v>0</v>
      </c>
      <c r="N68" s="141">
        <f>SUMIFS('Plan rashoda za unos u SAP'!$I$3:$I$501,'Plan rashoda za unos u SAP'!$C$3:$C$501,"=563",'Plan rashoda za unos u SAP'!$M$3:$M$501,"=547")</f>
        <v>0</v>
      </c>
      <c r="O68" s="141">
        <f>SUMIFS('Plan rashoda za unos u SAP'!$I$3:$I$501,'Plan rashoda za unos u SAP'!$C$3:$C$501,"=573",'Plan rashoda za unos u SAP'!$M$3:$M$501,"=547")</f>
        <v>0</v>
      </c>
      <c r="P68" s="141">
        <f>SUMIFS('Plan rashoda za unos u SAP'!$I$3:$I$501,'Plan rashoda za unos u SAP'!$C$3:$C$501,"=575",'Plan rashoda za unos u SAP'!$M$3:$M$501,"=547")</f>
        <v>0</v>
      </c>
      <c r="Q68" s="141">
        <f>SUMIFS('Plan rashoda za unos u SAP'!$I$3:$I$501,'Plan rashoda za unos u SAP'!$C$3:$C$501,"=61",'Plan rashoda za unos u SAP'!$M$3:$M$501,"=547")</f>
        <v>0</v>
      </c>
      <c r="R68" s="141">
        <f>SUMIFS('Plan rashoda za unos u SAP'!$I$3:$I$501,'Plan rashoda za unos u SAP'!$C$3:$C$501,"=63",'Plan rashoda za unos u SAP'!$M$3:$M$501,"=547")</f>
        <v>0</v>
      </c>
      <c r="S68" s="141">
        <f>SUMIFS('Plan rashoda za unos u SAP'!$I$3:$I$501,'Plan rashoda za unos u SAP'!$C$3:$C$501,"=71",'Plan rashoda za unos u SAP'!$M$3:$M$501,"=547")</f>
        <v>0</v>
      </c>
      <c r="T68" s="141">
        <f>SUMIFS('Plan rashoda za unos u SAP'!$I$3:$I$501,'Plan rashoda za unos u SAP'!$C$3:$C$501,"=81",'Plan rashoda za unos u SAP'!$M$3:$M$501,"=547")</f>
        <v>0</v>
      </c>
      <c r="U68" s="141">
        <f>SUMIFS('Plan rashoda za unos u SAP'!$I$3:$I$501,'Plan rashoda za unos u SAP'!$C$3:$C$501,"=83",'Plan rashoda za unos u SAP'!$M$3:$M$501,"=547")</f>
        <v>0</v>
      </c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  <c r="IW68" s="74"/>
      <c r="IX68" s="74"/>
      <c r="IY68" s="74"/>
      <c r="IZ68" s="74"/>
      <c r="JA68" s="74"/>
    </row>
    <row r="69" spans="1:261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  <c r="IW69" s="74"/>
      <c r="IX69" s="74"/>
      <c r="IY69" s="74"/>
      <c r="IZ69" s="74"/>
      <c r="JA69" s="74"/>
    </row>
    <row r="70" spans="1:261" s="75" customFormat="1" ht="71.45" customHeight="1">
      <c r="A70" s="94" t="s">
        <v>215</v>
      </c>
      <c r="B70" s="94" t="s">
        <v>216</v>
      </c>
      <c r="C70" s="2" t="s">
        <v>377</v>
      </c>
      <c r="D70" s="2" t="s">
        <v>52</v>
      </c>
      <c r="E70" s="2" t="s">
        <v>347</v>
      </c>
      <c r="F70" s="94" t="s">
        <v>19</v>
      </c>
      <c r="G70" s="94" t="s">
        <v>1667</v>
      </c>
      <c r="H70" s="94" t="s">
        <v>20</v>
      </c>
      <c r="I70" s="94" t="s">
        <v>295</v>
      </c>
      <c r="J70" s="94" t="s">
        <v>296</v>
      </c>
      <c r="K70" s="94" t="s">
        <v>1668</v>
      </c>
      <c r="L70" s="94" t="s">
        <v>297</v>
      </c>
      <c r="M70" s="94" t="s">
        <v>298</v>
      </c>
      <c r="N70" s="94" t="s">
        <v>299</v>
      </c>
      <c r="O70" s="94" t="s">
        <v>1669</v>
      </c>
      <c r="P70" s="94" t="s">
        <v>1670</v>
      </c>
      <c r="Q70" s="94" t="s">
        <v>300</v>
      </c>
      <c r="R70" s="94" t="s">
        <v>301</v>
      </c>
      <c r="S70" s="94" t="s">
        <v>1639</v>
      </c>
      <c r="T70" s="94" t="s">
        <v>1638</v>
      </c>
      <c r="U70" s="94" t="s">
        <v>1640</v>
      </c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  <c r="IW70" s="74"/>
      <c r="IX70" s="74"/>
      <c r="IY70" s="74"/>
      <c r="IZ70" s="74"/>
      <c r="JA70" s="74"/>
    </row>
    <row r="71" spans="1:261" s="23" customFormat="1" ht="19.5" customHeight="1">
      <c r="A71" s="120"/>
      <c r="B71" s="120" t="s">
        <v>381</v>
      </c>
      <c r="C71" s="121">
        <f>SUM(D71:U71)</f>
        <v>107065698</v>
      </c>
      <c r="D71" s="122">
        <f t="shared" ref="D71:T71" si="73">+D72+D80+D86</f>
        <v>64475723</v>
      </c>
      <c r="E71" s="122">
        <f t="shared" si="73"/>
        <v>4998847</v>
      </c>
      <c r="F71" s="122">
        <f t="shared" si="73"/>
        <v>3073000</v>
      </c>
      <c r="G71" s="122">
        <f t="shared" ref="G71" si="74">+G72+G80+G86</f>
        <v>0</v>
      </c>
      <c r="H71" s="122">
        <f t="shared" si="73"/>
        <v>1170000</v>
      </c>
      <c r="I71" s="122">
        <f t="shared" si="73"/>
        <v>0</v>
      </c>
      <c r="J71" s="122">
        <f t="shared" si="73"/>
        <v>20313</v>
      </c>
      <c r="K71" s="122">
        <f t="shared" ref="K71" si="75">+K72+K80+K86</f>
        <v>0</v>
      </c>
      <c r="L71" s="122">
        <f t="shared" si="73"/>
        <v>0</v>
      </c>
      <c r="M71" s="122">
        <f t="shared" si="73"/>
        <v>28326815</v>
      </c>
      <c r="N71" s="122">
        <f t="shared" si="73"/>
        <v>0</v>
      </c>
      <c r="O71" s="122">
        <f t="shared" ref="O71:P71" si="76">+O72+O80+O86</f>
        <v>0</v>
      </c>
      <c r="P71" s="122">
        <f t="shared" si="76"/>
        <v>0</v>
      </c>
      <c r="Q71" s="122">
        <f t="shared" si="73"/>
        <v>5000000</v>
      </c>
      <c r="R71" s="122">
        <f t="shared" si="73"/>
        <v>0</v>
      </c>
      <c r="S71" s="122">
        <f t="shared" si="73"/>
        <v>1000</v>
      </c>
      <c r="T71" s="122">
        <f t="shared" si="73"/>
        <v>0</v>
      </c>
      <c r="U71" s="122">
        <f t="shared" ref="U71" si="77">+U72+U80+U86</f>
        <v>0</v>
      </c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7"/>
      <c r="AM71" s="77"/>
      <c r="AN71" s="77"/>
      <c r="AO71" s="77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</row>
    <row r="72" spans="1:261" s="10" customFormat="1" ht="12.6" customHeight="1">
      <c r="A72" s="123">
        <v>3</v>
      </c>
      <c r="B72" s="124" t="s">
        <v>217</v>
      </c>
      <c r="C72" s="125">
        <f t="shared" ref="C72:C88" si="78">SUM(D72:U72)</f>
        <v>100971222</v>
      </c>
      <c r="D72" s="131">
        <f t="shared" ref="D72:T72" si="79">SUM(D73:D79)</f>
        <v>64257560</v>
      </c>
      <c r="E72" s="131">
        <f t="shared" si="79"/>
        <v>4998847</v>
      </c>
      <c r="F72" s="131">
        <f t="shared" si="79"/>
        <v>2468000</v>
      </c>
      <c r="G72" s="131">
        <f t="shared" ref="G72" si="80">SUM(G73:G79)</f>
        <v>0</v>
      </c>
      <c r="H72" s="131">
        <f t="shared" si="79"/>
        <v>920000</v>
      </c>
      <c r="I72" s="131">
        <f t="shared" si="79"/>
        <v>0</v>
      </c>
      <c r="J72" s="131">
        <f t="shared" si="79"/>
        <v>0</v>
      </c>
      <c r="K72" s="131">
        <f t="shared" ref="K72" si="81">SUM(K73:K79)</f>
        <v>0</v>
      </c>
      <c r="L72" s="131">
        <f t="shared" si="79"/>
        <v>0</v>
      </c>
      <c r="M72" s="131">
        <f t="shared" si="79"/>
        <v>28326815</v>
      </c>
      <c r="N72" s="131">
        <f t="shared" si="79"/>
        <v>0</v>
      </c>
      <c r="O72" s="131">
        <f t="shared" ref="O72:P72" si="82">SUM(O73:O79)</f>
        <v>0</v>
      </c>
      <c r="P72" s="131">
        <f t="shared" si="82"/>
        <v>0</v>
      </c>
      <c r="Q72" s="131">
        <f t="shared" si="79"/>
        <v>0</v>
      </c>
      <c r="R72" s="131">
        <f t="shared" si="79"/>
        <v>0</v>
      </c>
      <c r="S72" s="131">
        <f t="shared" si="79"/>
        <v>0</v>
      </c>
      <c r="T72" s="131">
        <f t="shared" si="79"/>
        <v>0</v>
      </c>
      <c r="U72" s="131">
        <f t="shared" ref="U72" si="83">SUM(U73:U79)</f>
        <v>0</v>
      </c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3"/>
      <c r="GF72" s="73"/>
      <c r="GG72" s="73"/>
      <c r="GH72" s="73"/>
      <c r="GI72" s="73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  <c r="IW72" s="74"/>
      <c r="IX72" s="74"/>
      <c r="IY72" s="74"/>
      <c r="IZ72" s="74"/>
      <c r="JA72" s="74"/>
    </row>
    <row r="73" spans="1:261" s="14" customFormat="1" ht="12.6" customHeight="1">
      <c r="A73" s="11">
        <v>31</v>
      </c>
      <c r="B73" s="12" t="s">
        <v>218</v>
      </c>
      <c r="C73" s="133">
        <f t="shared" si="78"/>
        <v>40604532</v>
      </c>
      <c r="D73" s="141">
        <f>SUMIFS('Plan rashoda za unos u SAP'!$J$3:$J$501,'Plan rashoda za unos u SAP'!$C$3:$C$501,"=11",'Plan rashoda za unos u SAP'!$N$3:$N$501,"=31")</f>
        <v>40266532</v>
      </c>
      <c r="E73" s="141">
        <f>SUMIFS('Plan rashoda za unos u SAP'!$J$3:$J$501,'Plan rashoda za unos u SAP'!$C$3:$C$501,"=12",'Plan rashoda za unos u SAP'!$N$3:$N$501,"=31")</f>
        <v>0</v>
      </c>
      <c r="F73" s="141">
        <f>SUMIFS('Plan rashoda za unos u SAP'!$J$3:$J$501,'Plan rashoda za unos u SAP'!$C$3:$C$501,"=31",'Plan rashoda za unos u SAP'!$N$3:$N$501,"=31")</f>
        <v>338000</v>
      </c>
      <c r="G73" s="141">
        <f>SUMIFS('Plan rashoda za unos u SAP'!$J$3:$J$501,'Plan rashoda za unos u SAP'!$C$3:$C$501,"=41",'Plan rashoda za unos u SAP'!$N$3:$N$501,"=41")</f>
        <v>0</v>
      </c>
      <c r="H73" s="141">
        <f>SUMIFS('Plan rashoda za unos u SAP'!$J$3:$J$501,'Plan rashoda za unos u SAP'!$C$3:$C$501,"=43",'Plan rashoda za unos u SAP'!$N$3:$N$501,"=31")</f>
        <v>0</v>
      </c>
      <c r="I73" s="141">
        <f>SUMIFS('Plan rashoda za unos u SAP'!$J$3:$J$501,'Plan rashoda za unos u SAP'!$C$3:$C$501,"=51",'Plan rashoda za unos u SAP'!$N$3:$N$501,"=31")</f>
        <v>0</v>
      </c>
      <c r="J73" s="141">
        <f>SUMIFS('Plan rashoda za unos u SAP'!$J$3:$J$501,'Plan rashoda za unos u SAP'!$C$3:$C$501,"=52",'Plan rashoda za unos u SAP'!$N$3:$N$501,"=31")</f>
        <v>0</v>
      </c>
      <c r="K73" s="141">
        <f>SUMIFS('Plan rashoda za unos u SAP'!$J$3:$J$501,'Plan rashoda za unos u SAP'!$C$3:$C$501,"=552",'Plan rashoda za unos u SAP'!$N$3:$N$501,"=552")</f>
        <v>0</v>
      </c>
      <c r="L73" s="141">
        <f>SUMIFS('Plan rashoda za unos u SAP'!$J$3:$J$501,'Plan rashoda za unos u SAP'!$C$3:$C$501,"=559",'Plan rashoda za unos u SAP'!$N$3:$N$501,"=31")</f>
        <v>0</v>
      </c>
      <c r="M73" s="141">
        <f>SUMIFS('Plan rashoda za unos u SAP'!$J$3:$J$501,'Plan rashoda za unos u SAP'!$C$3:$C$501,"=561",'Plan rashoda za unos u SAP'!$N$3:$N$501,"=31")</f>
        <v>0</v>
      </c>
      <c r="N73" s="141">
        <f>SUMIFS('Plan rashoda za unos u SAP'!$J$3:$J$501,'Plan rashoda za unos u SAP'!$C$3:$C$501,"=563",'Plan rashoda za unos u SAP'!$N$3:$N$501,"=31")</f>
        <v>0</v>
      </c>
      <c r="O73" s="141">
        <f>SUMIFS('Plan rashoda za unos u SAP'!$J$3:$J$501,'Plan rashoda za unos u SAP'!$C$3:$C$501,"=573",'Plan rashoda za unos u SAP'!$N$3:$N$501,"=573")</f>
        <v>0</v>
      </c>
      <c r="P73" s="141">
        <f>SUMIFS('Plan rashoda za unos u SAP'!$J$3:$J$501,'Plan rashoda za unos u SAP'!$C$3:$C$501,"=575",'Plan rashoda za unos u SAP'!$N$3:$N$501,"=575")</f>
        <v>0</v>
      </c>
      <c r="Q73" s="141">
        <f>SUMIFS('Plan rashoda za unos u SAP'!$J$3:$J$501,'Plan rashoda za unos u SAP'!$C$3:$C$501,"=61",'Plan rashoda za unos u SAP'!$N$3:$N$501,"=31")</f>
        <v>0</v>
      </c>
      <c r="R73" s="141">
        <f>SUMIFS('Plan rashoda za unos u SAP'!$J$3:$J$501,'Plan rashoda za unos u SAP'!$C$3:$C$501,"=63",'Plan rashoda za unos u SAP'!$N$3:$N$501,"=31")</f>
        <v>0</v>
      </c>
      <c r="S73" s="141">
        <f>SUMIFS('Plan rashoda za unos u SAP'!$J$3:$J$501,'Plan rashoda za unos u SAP'!$C$3:$C$501,"=71",'Plan rashoda za unos u SAP'!$N$3:$N$501,"=31")</f>
        <v>0</v>
      </c>
      <c r="T73" s="141">
        <f>SUMIFS('Plan rashoda za unos u SAP'!$J$3:$J$501,'Plan rashoda za unos u SAP'!$C$3:$C$501,"=81",'Plan rashoda za unos u SAP'!$N$3:$N$501,"=31")</f>
        <v>0</v>
      </c>
      <c r="U73" s="141">
        <f>SUMIFS('Plan rashoda za unos u SAP'!$J$3:$J$501,'Plan rashoda za unos u SAP'!$C$3:$C$501,"=83",'Plan rashoda za unos u SAP'!$N$3:$N$501,"=83")</f>
        <v>0</v>
      </c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6"/>
      <c r="GF73" s="86"/>
      <c r="GG73" s="86"/>
      <c r="GH73" s="86"/>
      <c r="GI73" s="86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  <c r="IW73" s="87"/>
      <c r="IX73" s="87"/>
      <c r="IY73" s="87"/>
      <c r="IZ73" s="87"/>
      <c r="JA73" s="87"/>
    </row>
    <row r="74" spans="1:261" s="86" customFormat="1" ht="12.6" customHeight="1">
      <c r="A74" s="85">
        <v>32</v>
      </c>
      <c r="B74" s="16" t="s">
        <v>219</v>
      </c>
      <c r="C74" s="134">
        <f t="shared" si="78"/>
        <v>59875180</v>
      </c>
      <c r="D74" s="141">
        <f>SUMIFS('Plan rashoda za unos u SAP'!$J$3:$J$501,'Plan rashoda za unos u SAP'!$C$3:$C$501,"=11",'Plan rashoda za unos u SAP'!$N$3:$N$501,"=32")</f>
        <v>23594518</v>
      </c>
      <c r="E74" s="141">
        <f>SUMIFS('Plan rashoda za unos u SAP'!$J$3:$J$501,'Plan rashoda za unos u SAP'!$C$3:$C$501,"=12",'Plan rashoda za unos u SAP'!$N$3:$N$501,"=32")</f>
        <v>4998847</v>
      </c>
      <c r="F74" s="141">
        <f>SUMIFS('Plan rashoda za unos u SAP'!$J$3:$J$501,'Plan rashoda za unos u SAP'!$C$3:$C$501,"=31",'Plan rashoda za unos u SAP'!$N$3:$N$501,"=32")</f>
        <v>2055000</v>
      </c>
      <c r="G74" s="141">
        <f>SUMIFS('Plan rashoda za unos u SAP'!$J$3:$J$501,'Plan rashoda za unos u SAP'!$C$3:$C$501,"=41",'Plan rashoda za unos u SAP'!$N$3:$N$501,"=32")</f>
        <v>0</v>
      </c>
      <c r="H74" s="141">
        <f>SUMIFS('Plan rashoda za unos u SAP'!$J$3:$J$501,'Plan rashoda za unos u SAP'!$C$3:$C$501,"=43",'Plan rashoda za unos u SAP'!$N$3:$N$501,"=32")</f>
        <v>900000</v>
      </c>
      <c r="I74" s="141">
        <f>SUMIFS('Plan rashoda za unos u SAP'!$J$3:$J$501,'Plan rashoda za unos u SAP'!$C$3:$C$501,"=51",'Plan rashoda za unos u SAP'!$N$3:$N$501,"=32")</f>
        <v>0</v>
      </c>
      <c r="J74" s="141">
        <f>SUMIFS('Plan rashoda za unos u SAP'!$J$3:$J$501,'Plan rashoda za unos u SAP'!$C$3:$C$501,"=52",'Plan rashoda za unos u SAP'!$N$3:$N$501,"=32")</f>
        <v>0</v>
      </c>
      <c r="K74" s="141">
        <f>SUMIFS('Plan rashoda za unos u SAP'!$J$3:$J$501,'Plan rashoda za unos u SAP'!$C$3:$C$501,"=552",'Plan rashoda za unos u SAP'!$N$3:$N$501,"=32")</f>
        <v>0</v>
      </c>
      <c r="L74" s="141">
        <f>SUMIFS('Plan rashoda za unos u SAP'!$J$3:$J$501,'Plan rashoda za unos u SAP'!$C$3:$C$501,"=559",'Plan rashoda za unos u SAP'!$N$3:$N$501,"=32")</f>
        <v>0</v>
      </c>
      <c r="M74" s="141">
        <f>SUMIFS('Plan rashoda za unos u SAP'!$J$3:$J$501,'Plan rashoda za unos u SAP'!$C$3:$C$501,"=561",'Plan rashoda za unos u SAP'!$N$3:$N$501,"=32")</f>
        <v>28326815</v>
      </c>
      <c r="N74" s="141">
        <f>SUMIFS('Plan rashoda za unos u SAP'!$J$3:$J$501,'Plan rashoda za unos u SAP'!$C$3:$C$501,"=563",'Plan rashoda za unos u SAP'!$N$3:$N$501,"=32")</f>
        <v>0</v>
      </c>
      <c r="O74" s="141">
        <f>SUMIFS('Plan rashoda za unos u SAP'!$J$3:$J$501,'Plan rashoda za unos u SAP'!$C$3:$C$501,"=573",'Plan rashoda za unos u SAP'!$N$3:$N$501,"=32")</f>
        <v>0</v>
      </c>
      <c r="P74" s="141">
        <f>SUMIFS('Plan rashoda za unos u SAP'!$J$3:$J$501,'Plan rashoda za unos u SAP'!$C$3:$C$501,"=575",'Plan rashoda za unos u SAP'!$N$3:$N$501,"=32")</f>
        <v>0</v>
      </c>
      <c r="Q74" s="141">
        <f>SUMIFS('Plan rashoda za unos u SAP'!$J$3:$J$501,'Plan rashoda za unos u SAP'!$C$3:$C$501,"=61",'Plan rashoda za unos u SAP'!$N$3:$N$501,"=32")</f>
        <v>0</v>
      </c>
      <c r="R74" s="141">
        <f>SUMIFS('Plan rashoda za unos u SAP'!$J$3:$J$501,'Plan rashoda za unos u SAP'!$C$3:$C$501,"=63",'Plan rashoda za unos u SAP'!$N$3:$N$501,"=32")</f>
        <v>0</v>
      </c>
      <c r="S74" s="141">
        <f>SUMIFS('Plan rashoda za unos u SAP'!$J$3:$J$501,'Plan rashoda za unos u SAP'!$C$3:$C$501,"=71",'Plan rashoda za unos u SAP'!$N$3:$N$501,"=32")</f>
        <v>0</v>
      </c>
      <c r="T74" s="141">
        <f>SUMIFS('Plan rashoda za unos u SAP'!$J$3:$J$501,'Plan rashoda za unos u SAP'!$C$3:$C$501,"=81",'Plan rashoda za unos u SAP'!$N$3:$N$501,"=32")</f>
        <v>0</v>
      </c>
      <c r="U74" s="141">
        <f>SUMIFS('Plan rashoda za unos u SAP'!$J$3:$J$501,'Plan rashoda za unos u SAP'!$C$3:$C$501,"=83",'Plan rashoda za unos u SAP'!$N$3:$N$501,"=32")</f>
        <v>0</v>
      </c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  <c r="IW74" s="87"/>
      <c r="IX74" s="87"/>
      <c r="IY74" s="87"/>
      <c r="IZ74" s="87"/>
      <c r="JA74" s="87"/>
    </row>
    <row r="75" spans="1:261" s="17" customFormat="1" ht="12.6" customHeight="1">
      <c r="A75" s="85">
        <v>34</v>
      </c>
      <c r="B75" s="16" t="s">
        <v>223</v>
      </c>
      <c r="C75" s="134">
        <f t="shared" si="78"/>
        <v>344000</v>
      </c>
      <c r="D75" s="141">
        <f>SUMIFS('Plan rashoda za unos u SAP'!$J$3:$J$501,'Plan rashoda za unos u SAP'!$C$3:$C$501,"=11",'Plan rashoda za unos u SAP'!$N$3:$N$501,"=34")</f>
        <v>289000</v>
      </c>
      <c r="E75" s="141">
        <f>SUMIFS('Plan rashoda za unos u SAP'!$J$3:$J$501,'Plan rashoda za unos u SAP'!$C$3:$C$501,"=12",'Plan rashoda za unos u SAP'!$N$3:$N$501,"=34")</f>
        <v>0</v>
      </c>
      <c r="F75" s="141">
        <f>SUMIFS('Plan rashoda za unos u SAP'!$J$3:$J$501,'Plan rashoda za unos u SAP'!$C$3:$C$501,"=31",'Plan rashoda za unos u SAP'!$N$3:$N$501,"=34")</f>
        <v>55000</v>
      </c>
      <c r="G75" s="141">
        <f>SUMIFS('Plan rashoda za unos u SAP'!$J$3:$J$501,'Plan rashoda za unos u SAP'!$C$3:$C$501,"=41",'Plan rashoda za unos u SAP'!$N$3:$N$501,"=34")</f>
        <v>0</v>
      </c>
      <c r="H75" s="141">
        <f>SUMIFS('Plan rashoda za unos u SAP'!$J$3:$J$501,'Plan rashoda za unos u SAP'!$C$3:$C$501,"=43",'Plan rashoda za unos u SAP'!$N$3:$N$501,"=34")</f>
        <v>0</v>
      </c>
      <c r="I75" s="141">
        <f>SUMIFS('Plan rashoda za unos u SAP'!$J$3:$J$501,'Plan rashoda za unos u SAP'!$C$3:$C$501,"=51",'Plan rashoda za unos u SAP'!$N$3:$N$501,"=34")</f>
        <v>0</v>
      </c>
      <c r="J75" s="141">
        <f>SUMIFS('Plan rashoda za unos u SAP'!$J$3:$J$501,'Plan rashoda za unos u SAP'!$C$3:$C$501,"=52",'Plan rashoda za unos u SAP'!$N$3:$N$501,"=34")</f>
        <v>0</v>
      </c>
      <c r="K75" s="141">
        <f>SUMIFS('Plan rashoda za unos u SAP'!$J$3:$J$501,'Plan rashoda za unos u SAP'!$C$3:$C$501,"=552",'Plan rashoda za unos u SAP'!$N$3:$N$501,"=34")</f>
        <v>0</v>
      </c>
      <c r="L75" s="141">
        <f>SUMIFS('Plan rashoda za unos u SAP'!$J$3:$J$501,'Plan rashoda za unos u SAP'!$C$3:$C$501,"=559",'Plan rashoda za unos u SAP'!$N$3:$N$501,"=34")</f>
        <v>0</v>
      </c>
      <c r="M75" s="141">
        <f>SUMIFS('Plan rashoda za unos u SAP'!$J$3:$J$501,'Plan rashoda za unos u SAP'!$C$3:$C$501,"=561",'Plan rashoda za unos u SAP'!$N$3:$N$501,"=34")</f>
        <v>0</v>
      </c>
      <c r="N75" s="141">
        <f>SUMIFS('Plan rashoda za unos u SAP'!$J$3:$J$501,'Plan rashoda za unos u SAP'!$C$3:$C$501,"=563",'Plan rashoda za unos u SAP'!$N$3:$N$501,"=34")</f>
        <v>0</v>
      </c>
      <c r="O75" s="141">
        <f>SUMIFS('Plan rashoda za unos u SAP'!$J$3:$J$501,'Plan rashoda za unos u SAP'!$C$3:$C$501,"=573",'Plan rashoda za unos u SAP'!$N$3:$N$501,"=34")</f>
        <v>0</v>
      </c>
      <c r="P75" s="141">
        <f>SUMIFS('Plan rashoda za unos u SAP'!$J$3:$J$501,'Plan rashoda za unos u SAP'!$C$3:$C$501,"=575",'Plan rashoda za unos u SAP'!$N$3:$N$501,"=34")</f>
        <v>0</v>
      </c>
      <c r="Q75" s="141">
        <f>SUMIFS('Plan rashoda za unos u SAP'!$J$3:$J$501,'Plan rashoda za unos u SAP'!$C$3:$C$501,"=61",'Plan rashoda za unos u SAP'!$N$3:$N$501,"=34")</f>
        <v>0</v>
      </c>
      <c r="R75" s="141">
        <f>SUMIFS('Plan rashoda za unos u SAP'!$J$3:$J$501,'Plan rashoda za unos u SAP'!$C$3:$C$501,"=63",'Plan rashoda za unos u SAP'!$N$3:$N$501,"=34")</f>
        <v>0</v>
      </c>
      <c r="S75" s="141">
        <f>SUMIFS('Plan rashoda za unos u SAP'!$J$3:$J$501,'Plan rashoda za unos u SAP'!$C$3:$C$501,"=71",'Plan rashoda za unos u SAP'!$N$3:$N$501,"=34")</f>
        <v>0</v>
      </c>
      <c r="T75" s="141">
        <f>SUMIFS('Plan rashoda za unos u SAP'!$J$3:$J$501,'Plan rashoda za unos u SAP'!$C$3:$C$501,"=81",'Plan rashoda za unos u SAP'!$N$3:$N$501,"=34")</f>
        <v>0</v>
      </c>
      <c r="U75" s="141">
        <f>SUMIFS('Plan rashoda za unos u SAP'!$J$3:$J$501,'Plan rashoda za unos u SAP'!$C$3:$C$501,"=83",'Plan rashoda za unos u SAP'!$N$3:$N$501,"=34")</f>
        <v>0</v>
      </c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6"/>
      <c r="GF75" s="86"/>
      <c r="GG75" s="86"/>
      <c r="GH75" s="86"/>
      <c r="GI75" s="86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87"/>
    </row>
    <row r="76" spans="1:261" s="86" customFormat="1" ht="12.6" customHeight="1">
      <c r="A76" s="85">
        <v>35</v>
      </c>
      <c r="B76" s="16" t="s">
        <v>350</v>
      </c>
      <c r="C76" s="134">
        <f t="shared" si="78"/>
        <v>0</v>
      </c>
      <c r="D76" s="141">
        <f>SUMIFS('Plan rashoda za unos u SAP'!$J$3:$J$501,'Plan rashoda za unos u SAP'!$C$3:$C$501,"=11",'Plan rashoda za unos u SAP'!$N$3:$N$501,"=35")</f>
        <v>0</v>
      </c>
      <c r="E76" s="141">
        <f>SUMIFS('Plan rashoda za unos u SAP'!$J$3:$J$501,'Plan rashoda za unos u SAP'!$C$3:$C$501,"=12",'Plan rashoda za unos u SAP'!$N$3:$N$501,"=35")</f>
        <v>0</v>
      </c>
      <c r="F76" s="141">
        <f>SUMIFS('Plan rashoda za unos u SAP'!$J$3:$J$501,'Plan rashoda za unos u SAP'!$C$3:$C$501,"=31",'Plan rashoda za unos u SAP'!$N$3:$N$501,"=35")</f>
        <v>0</v>
      </c>
      <c r="G76" s="141">
        <f>SUMIFS('Plan rashoda za unos u SAP'!$J$3:$J$501,'Plan rashoda za unos u SAP'!$C$3:$C$501,"=41",'Plan rashoda za unos u SAP'!$N$3:$N$501,"=35")</f>
        <v>0</v>
      </c>
      <c r="H76" s="141">
        <f>SUMIFS('Plan rashoda za unos u SAP'!$J$3:$J$501,'Plan rashoda za unos u SAP'!$C$3:$C$501,"=43",'Plan rashoda za unos u SAP'!$N$3:$N$501,"=35")</f>
        <v>0</v>
      </c>
      <c r="I76" s="141">
        <f>SUMIFS('Plan rashoda za unos u SAP'!$J$3:$J$501,'Plan rashoda za unos u SAP'!$C$3:$C$501,"=51",'Plan rashoda za unos u SAP'!$N$3:$N$501,"=35")</f>
        <v>0</v>
      </c>
      <c r="J76" s="141">
        <f>SUMIFS('Plan rashoda za unos u SAP'!$J$3:$J$501,'Plan rashoda za unos u SAP'!$C$3:$C$501,"=52",'Plan rashoda za unos u SAP'!$N$3:$N$501,"=35")</f>
        <v>0</v>
      </c>
      <c r="K76" s="141">
        <f>SUMIFS('Plan rashoda za unos u SAP'!$J$3:$J$501,'Plan rashoda za unos u SAP'!$C$3:$C$501,"=552",'Plan rashoda za unos u SAP'!$N$3:$N$501,"=35")</f>
        <v>0</v>
      </c>
      <c r="L76" s="141">
        <f>SUMIFS('Plan rashoda za unos u SAP'!$J$3:$J$501,'Plan rashoda za unos u SAP'!$C$3:$C$501,"=559",'Plan rashoda za unos u SAP'!$N$3:$N$501,"=35")</f>
        <v>0</v>
      </c>
      <c r="M76" s="141">
        <f>SUMIFS('Plan rashoda za unos u SAP'!$J$3:$J$501,'Plan rashoda za unos u SAP'!$C$3:$C$501,"=561",'Plan rashoda za unos u SAP'!$N$3:$N$501,"=35")</f>
        <v>0</v>
      </c>
      <c r="N76" s="141">
        <f>SUMIFS('Plan rashoda za unos u SAP'!$J$3:$J$501,'Plan rashoda za unos u SAP'!$C$3:$C$501,"=563",'Plan rashoda za unos u SAP'!$N$3:$N$501,"=35")</f>
        <v>0</v>
      </c>
      <c r="O76" s="141">
        <f>SUMIFS('Plan rashoda za unos u SAP'!$J$3:$J$501,'Plan rashoda za unos u SAP'!$C$3:$C$501,"=573",'Plan rashoda za unos u SAP'!$N$3:$N$501,"=35")</f>
        <v>0</v>
      </c>
      <c r="P76" s="141">
        <f>SUMIFS('Plan rashoda za unos u SAP'!$J$3:$J$501,'Plan rashoda za unos u SAP'!$C$3:$C$501,"=575",'Plan rashoda za unos u SAP'!$N$3:$N$501,"=35")</f>
        <v>0</v>
      </c>
      <c r="Q76" s="141">
        <f>SUMIFS('Plan rashoda za unos u SAP'!$J$3:$J$501,'Plan rashoda za unos u SAP'!$C$3:$C$501,"=61",'Plan rashoda za unos u SAP'!$N$3:$N$501,"=35")</f>
        <v>0</v>
      </c>
      <c r="R76" s="141">
        <f>SUMIFS('Plan rashoda za unos u SAP'!$J$3:$J$501,'Plan rashoda za unos u SAP'!$C$3:$C$501,"=63",'Plan rashoda za unos u SAP'!$N$3:$N$501,"=35")</f>
        <v>0</v>
      </c>
      <c r="S76" s="141">
        <f>SUMIFS('Plan rashoda za unos u SAP'!$J$3:$J$501,'Plan rashoda za unos u SAP'!$C$3:$C$501,"=71",'Plan rashoda za unos u SAP'!$N$3:$N$501,"=35")</f>
        <v>0</v>
      </c>
      <c r="T76" s="141">
        <f>SUMIFS('Plan rashoda za unos u SAP'!$J$3:$J$501,'Plan rashoda za unos u SAP'!$C$3:$C$501,"=81",'Plan rashoda za unos u SAP'!$N$3:$N$501,"=35")</f>
        <v>0</v>
      </c>
      <c r="U76" s="141">
        <f>SUMIFS('Plan rashoda za unos u SAP'!$J$3:$J$501,'Plan rashoda za unos u SAP'!$C$3:$C$501,"=83",'Plan rashoda za unos u SAP'!$N$3:$N$501,"=35")</f>
        <v>0</v>
      </c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87"/>
    </row>
    <row r="77" spans="1:261" s="86" customFormat="1" ht="12.6" customHeight="1">
      <c r="A77" s="85">
        <v>36</v>
      </c>
      <c r="B77" s="19" t="s">
        <v>225</v>
      </c>
      <c r="C77" s="134">
        <f t="shared" si="78"/>
        <v>0</v>
      </c>
      <c r="D77" s="141">
        <f>SUMIFS('Plan rashoda za unos u SAP'!$J$3:$J$501,'Plan rashoda za unos u SAP'!$C$3:$C$501,"=11",'Plan rashoda za unos u SAP'!$N$3:$N$501,"=36")</f>
        <v>0</v>
      </c>
      <c r="E77" s="141">
        <f>SUMIFS('Plan rashoda za unos u SAP'!$J$3:$J$501,'Plan rashoda za unos u SAP'!$C$3:$C$501,"=12",'Plan rashoda za unos u SAP'!$N$3:$N$501,"=36")</f>
        <v>0</v>
      </c>
      <c r="F77" s="141">
        <f>SUMIFS('Plan rashoda za unos u SAP'!$J$3:$J$501,'Plan rashoda za unos u SAP'!$C$3:$C$501,"=31",'Plan rashoda za unos u SAP'!$N$3:$N$501,"=36")</f>
        <v>0</v>
      </c>
      <c r="G77" s="141">
        <f>SUMIFS('Plan rashoda za unos u SAP'!$J$3:$J$501,'Plan rashoda za unos u SAP'!$C$3:$C$501,"=41",'Plan rashoda za unos u SAP'!$N$3:$N$501,"=36")</f>
        <v>0</v>
      </c>
      <c r="H77" s="141">
        <f>SUMIFS('Plan rashoda za unos u SAP'!$J$3:$J$501,'Plan rashoda za unos u SAP'!$C$3:$C$501,"=43",'Plan rashoda za unos u SAP'!$N$3:$N$501,"=36")</f>
        <v>0</v>
      </c>
      <c r="I77" s="141">
        <f>SUMIFS('Plan rashoda za unos u SAP'!$J$3:$J$501,'Plan rashoda za unos u SAP'!$C$3:$C$501,"=51",'Plan rashoda za unos u SAP'!$N$3:$N$501,"=36")</f>
        <v>0</v>
      </c>
      <c r="J77" s="141">
        <f>SUMIFS('Plan rashoda za unos u SAP'!$J$3:$J$501,'Plan rashoda za unos u SAP'!$C$3:$C$501,"=52",'Plan rashoda za unos u SAP'!$N$3:$N$501,"=36")</f>
        <v>0</v>
      </c>
      <c r="K77" s="141">
        <f>SUMIFS('Plan rashoda za unos u SAP'!$J$3:$J$501,'Plan rashoda za unos u SAP'!$C$3:$C$501,"=552",'Plan rashoda za unos u SAP'!$N$3:$N$501,"=36")</f>
        <v>0</v>
      </c>
      <c r="L77" s="141">
        <f>SUMIFS('Plan rashoda za unos u SAP'!$J$3:$J$501,'Plan rashoda za unos u SAP'!$C$3:$C$501,"=559",'Plan rashoda za unos u SAP'!$N$3:$N$501,"=36")</f>
        <v>0</v>
      </c>
      <c r="M77" s="141">
        <f>SUMIFS('Plan rashoda za unos u SAP'!$J$3:$J$501,'Plan rashoda za unos u SAP'!$C$3:$C$501,"=561",'Plan rashoda za unos u SAP'!$N$3:$N$501,"=36")</f>
        <v>0</v>
      </c>
      <c r="N77" s="141">
        <f>SUMIFS('Plan rashoda za unos u SAP'!$J$3:$J$501,'Plan rashoda za unos u SAP'!$C$3:$C$501,"=563",'Plan rashoda za unos u SAP'!$N$3:$N$501,"=36")</f>
        <v>0</v>
      </c>
      <c r="O77" s="141">
        <f>SUMIFS('Plan rashoda za unos u SAP'!$J$3:$J$501,'Plan rashoda za unos u SAP'!$C$3:$C$501,"=573",'Plan rashoda za unos u SAP'!$N$3:$N$501,"=36")</f>
        <v>0</v>
      </c>
      <c r="P77" s="141">
        <f>SUMIFS('Plan rashoda za unos u SAP'!$J$3:$J$501,'Plan rashoda za unos u SAP'!$C$3:$C$501,"=575",'Plan rashoda za unos u SAP'!$N$3:$N$501,"=36")</f>
        <v>0</v>
      </c>
      <c r="Q77" s="141">
        <f>SUMIFS('Plan rashoda za unos u SAP'!$J$3:$J$501,'Plan rashoda za unos u SAP'!$C$3:$C$501,"=61",'Plan rashoda za unos u SAP'!$N$3:$N$501,"=36")</f>
        <v>0</v>
      </c>
      <c r="R77" s="141">
        <f>SUMIFS('Plan rashoda za unos u SAP'!$J$3:$J$501,'Plan rashoda za unos u SAP'!$C$3:$C$501,"=63",'Plan rashoda za unos u SAP'!$N$3:$N$501,"=36")</f>
        <v>0</v>
      </c>
      <c r="S77" s="141">
        <f>SUMIFS('Plan rashoda za unos u SAP'!$J$3:$J$501,'Plan rashoda za unos u SAP'!$C$3:$C$501,"=71",'Plan rashoda za unos u SAP'!$N$3:$N$501,"=36")</f>
        <v>0</v>
      </c>
      <c r="T77" s="141">
        <f>SUMIFS('Plan rashoda za unos u SAP'!$J$3:$J$501,'Plan rashoda za unos u SAP'!$C$3:$C$501,"=81",'Plan rashoda za unos u SAP'!$N$3:$N$501,"=36")</f>
        <v>0</v>
      </c>
      <c r="U77" s="141">
        <f>SUMIFS('Plan rashoda za unos u SAP'!$J$3:$J$501,'Plan rashoda za unos u SAP'!$C$3:$C$501,"=83",'Plan rashoda za unos u SAP'!$N$3:$N$501,"=36")</f>
        <v>0</v>
      </c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87"/>
    </row>
    <row r="78" spans="1:261" s="21" customFormat="1" ht="12.6" customHeight="1">
      <c r="A78" s="85">
        <v>37</v>
      </c>
      <c r="B78" s="16" t="s">
        <v>357</v>
      </c>
      <c r="C78" s="134">
        <f t="shared" si="78"/>
        <v>102000</v>
      </c>
      <c r="D78" s="141">
        <f>SUMIFS('Plan rashoda za unos u SAP'!$J$3:$J$501,'Plan rashoda za unos u SAP'!$C$3:$C$501,"=11",'Plan rashoda za unos u SAP'!$N$3:$N$501,"=37")</f>
        <v>82000</v>
      </c>
      <c r="E78" s="141">
        <f>SUMIFS('Plan rashoda za unos u SAP'!$J$3:$J$501,'Plan rashoda za unos u SAP'!$C$3:$C$501,"=12",'Plan rashoda za unos u SAP'!$N$3:$N$501,"=37")</f>
        <v>0</v>
      </c>
      <c r="F78" s="141">
        <f>SUMIFS('Plan rashoda za unos u SAP'!$J$3:$J$501,'Plan rashoda za unos u SAP'!$C$3:$C$501,"=31",'Plan rashoda za unos u SAP'!$N$3:$N$501,"=37")</f>
        <v>0</v>
      </c>
      <c r="G78" s="141">
        <f>SUMIFS('Plan rashoda za unos u SAP'!$J$3:$J$501,'Plan rashoda za unos u SAP'!$C$3:$C$501,"=41",'Plan rashoda za unos u SAP'!$N$3:$N$501,"=37")</f>
        <v>0</v>
      </c>
      <c r="H78" s="141">
        <f>SUMIFS('Plan rashoda za unos u SAP'!$J$3:$J$501,'Plan rashoda za unos u SAP'!$C$3:$C$501,"=43",'Plan rashoda za unos u SAP'!$N$3:$N$501,"=37")</f>
        <v>20000</v>
      </c>
      <c r="I78" s="141">
        <f>SUMIFS('Plan rashoda za unos u SAP'!$J$3:$J$501,'Plan rashoda za unos u SAP'!$C$3:$C$501,"=51",'Plan rashoda za unos u SAP'!$N$3:$N$501,"=37")</f>
        <v>0</v>
      </c>
      <c r="J78" s="141">
        <f>SUMIFS('Plan rashoda za unos u SAP'!$J$3:$J$501,'Plan rashoda za unos u SAP'!$C$3:$C$501,"=52",'Plan rashoda za unos u SAP'!$N$3:$N$501,"=37")</f>
        <v>0</v>
      </c>
      <c r="K78" s="141">
        <f>SUMIFS('Plan rashoda za unos u SAP'!$J$3:$J$501,'Plan rashoda za unos u SAP'!$C$3:$C$501,"=552",'Plan rashoda za unos u SAP'!$N$3:$N$501,"=37")</f>
        <v>0</v>
      </c>
      <c r="L78" s="141">
        <f>SUMIFS('Plan rashoda za unos u SAP'!$J$3:$J$501,'Plan rashoda za unos u SAP'!$C$3:$C$501,"=559",'Plan rashoda za unos u SAP'!$N$3:$N$501,"=37")</f>
        <v>0</v>
      </c>
      <c r="M78" s="141">
        <f>SUMIFS('Plan rashoda za unos u SAP'!$J$3:$J$501,'Plan rashoda za unos u SAP'!$C$3:$C$501,"=561",'Plan rashoda za unos u SAP'!$N$3:$N$501,"=37")</f>
        <v>0</v>
      </c>
      <c r="N78" s="141">
        <f>SUMIFS('Plan rashoda za unos u SAP'!$J$3:$J$501,'Plan rashoda za unos u SAP'!$C$3:$C$501,"=563",'Plan rashoda za unos u SAP'!$N$3:$N$501,"=37")</f>
        <v>0</v>
      </c>
      <c r="O78" s="141">
        <f>SUMIFS('Plan rashoda za unos u SAP'!$J$3:$J$501,'Plan rashoda za unos u SAP'!$C$3:$C$501,"=573",'Plan rashoda za unos u SAP'!$N$3:$N$501,"=37")</f>
        <v>0</v>
      </c>
      <c r="P78" s="141">
        <f>SUMIFS('Plan rashoda za unos u SAP'!$J$3:$J$501,'Plan rashoda za unos u SAP'!$C$3:$C$501,"=575",'Plan rashoda za unos u SAP'!$N$3:$N$501,"=37")</f>
        <v>0</v>
      </c>
      <c r="Q78" s="141">
        <f>SUMIFS('Plan rashoda za unos u SAP'!$J$3:$J$501,'Plan rashoda za unos u SAP'!$C$3:$C$501,"=61",'Plan rashoda za unos u SAP'!$N$3:$N$501,"=37")</f>
        <v>0</v>
      </c>
      <c r="R78" s="141">
        <f>SUMIFS('Plan rashoda za unos u SAP'!$J$3:$J$501,'Plan rashoda za unos u SAP'!$C$3:$C$501,"=63",'Plan rashoda za unos u SAP'!$N$3:$N$501,"=37")</f>
        <v>0</v>
      </c>
      <c r="S78" s="141">
        <f>SUMIFS('Plan rashoda za unos u SAP'!$J$3:$J$501,'Plan rashoda za unos u SAP'!$C$3:$C$501,"=71",'Plan rashoda za unos u SAP'!$N$3:$N$501,"=37")</f>
        <v>0</v>
      </c>
      <c r="T78" s="141">
        <f>SUMIFS('Plan rashoda za unos u SAP'!$J$3:$J$501,'Plan rashoda za unos u SAP'!$C$3:$C$501,"=81",'Plan rashoda za unos u SAP'!$N$3:$N$501,"=37")</f>
        <v>0</v>
      </c>
      <c r="U78" s="141">
        <f>SUMIFS('Plan rashoda za unos u SAP'!$J$3:$J$501,'Plan rashoda za unos u SAP'!$C$3:$C$501,"=83",'Plan rashoda za unos u SAP'!$N$3:$N$501,"=37")</f>
        <v>0</v>
      </c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87"/>
    </row>
    <row r="79" spans="1:261" s="21" customFormat="1" ht="12.6" customHeight="1">
      <c r="A79" s="85">
        <v>38</v>
      </c>
      <c r="B79" s="16" t="s">
        <v>227</v>
      </c>
      <c r="C79" s="134">
        <f t="shared" si="78"/>
        <v>45510</v>
      </c>
      <c r="D79" s="141">
        <f>SUMIFS('Plan rashoda za unos u SAP'!$J$3:$J$501,'Plan rashoda za unos u SAP'!$C$3:$C$501,"=11",'Plan rashoda za unos u SAP'!$N$3:$N$501,"=38")</f>
        <v>25510</v>
      </c>
      <c r="E79" s="141">
        <f>SUMIFS('Plan rashoda za unos u SAP'!$J$3:$J$501,'Plan rashoda za unos u SAP'!$C$3:$C$501,"=12",'Plan rashoda za unos u SAP'!$N$3:$N$501,"=38")</f>
        <v>0</v>
      </c>
      <c r="F79" s="141">
        <f>SUMIFS('Plan rashoda za unos u SAP'!$J$3:$J$501,'Plan rashoda za unos u SAP'!$C$3:$C$501,"=31",'Plan rashoda za unos u SAP'!$N$3:$N$501,"=38")</f>
        <v>20000</v>
      </c>
      <c r="G79" s="141">
        <f>SUMIFS('Plan rashoda za unos u SAP'!$J$3:$J$501,'Plan rashoda za unos u SAP'!$C$3:$C$501,"=41",'Plan rashoda za unos u SAP'!$N$3:$N$501,"=38")</f>
        <v>0</v>
      </c>
      <c r="H79" s="141">
        <f>SUMIFS('Plan rashoda za unos u SAP'!$J$3:$J$501,'Plan rashoda za unos u SAP'!$C$3:$C$501,"=43",'Plan rashoda za unos u SAP'!$N$3:$N$501,"=38")</f>
        <v>0</v>
      </c>
      <c r="I79" s="141">
        <f>SUMIFS('Plan rashoda za unos u SAP'!$J$3:$J$501,'Plan rashoda za unos u SAP'!$C$3:$C$501,"=51",'Plan rashoda za unos u SAP'!$N$3:$N$501,"=38")</f>
        <v>0</v>
      </c>
      <c r="J79" s="141">
        <f>SUMIFS('Plan rashoda za unos u SAP'!$J$3:$J$501,'Plan rashoda za unos u SAP'!$C$3:$C$501,"=52",'Plan rashoda za unos u SAP'!$N$3:$N$501,"=38")</f>
        <v>0</v>
      </c>
      <c r="K79" s="141">
        <f>SUMIFS('Plan rashoda za unos u SAP'!$J$3:$J$501,'Plan rashoda za unos u SAP'!$C$3:$C$501,"=552",'Plan rashoda za unos u SAP'!$N$3:$N$501,"=38")</f>
        <v>0</v>
      </c>
      <c r="L79" s="141">
        <f>SUMIFS('Plan rashoda za unos u SAP'!$J$3:$J$501,'Plan rashoda za unos u SAP'!$C$3:$C$501,"=559",'Plan rashoda za unos u SAP'!$N$3:$N$501,"=38")</f>
        <v>0</v>
      </c>
      <c r="M79" s="141">
        <f>SUMIFS('Plan rashoda za unos u SAP'!$J$3:$J$501,'Plan rashoda za unos u SAP'!$C$3:$C$501,"=561",'Plan rashoda za unos u SAP'!$N$3:$N$501,"=38")</f>
        <v>0</v>
      </c>
      <c r="N79" s="141">
        <f>SUMIFS('Plan rashoda za unos u SAP'!$J$3:$J$501,'Plan rashoda za unos u SAP'!$C$3:$C$501,"=563",'Plan rashoda za unos u SAP'!$N$3:$N$501,"=38")</f>
        <v>0</v>
      </c>
      <c r="O79" s="141">
        <f>SUMIFS('Plan rashoda za unos u SAP'!$J$3:$J$501,'Plan rashoda za unos u SAP'!$C$3:$C$501,"=573",'Plan rashoda za unos u SAP'!$N$3:$N$501,"=38")</f>
        <v>0</v>
      </c>
      <c r="P79" s="141">
        <f>SUMIFS('Plan rashoda za unos u SAP'!$J$3:$J$501,'Plan rashoda za unos u SAP'!$C$3:$C$501,"=575",'Plan rashoda za unos u SAP'!$N$3:$N$501,"=38")</f>
        <v>0</v>
      </c>
      <c r="Q79" s="141">
        <f>SUMIFS('Plan rashoda za unos u SAP'!$J$3:$J$501,'Plan rashoda za unos u SAP'!$C$3:$C$501,"=61",'Plan rashoda za unos u SAP'!$N$3:$N$501,"=38")</f>
        <v>0</v>
      </c>
      <c r="R79" s="141">
        <f>SUMIFS('Plan rashoda za unos u SAP'!$J$3:$J$501,'Plan rashoda za unos u SAP'!$C$3:$C$501,"=63",'Plan rashoda za unos u SAP'!$N$3:$N$501,"=38")</f>
        <v>0</v>
      </c>
      <c r="S79" s="141">
        <f>SUMIFS('Plan rashoda za unos u SAP'!$J$3:$J$501,'Plan rashoda za unos u SAP'!$C$3:$C$501,"=71",'Plan rashoda za unos u SAP'!$N$3:$N$501,"=38")</f>
        <v>0</v>
      </c>
      <c r="T79" s="141">
        <f>SUMIFS('Plan rashoda za unos u SAP'!$J$3:$J$501,'Plan rashoda za unos u SAP'!$C$3:$C$501,"=81",'Plan rashoda za unos u SAP'!$N$3:$N$501,"=38")</f>
        <v>0</v>
      </c>
      <c r="U79" s="141">
        <f>SUMIFS('Plan rashoda za unos u SAP'!$J$3:$J$501,'Plan rashoda za unos u SAP'!$C$3:$C$501,"=83",'Plan rashoda za unos u SAP'!$N$3:$N$501,"=38")</f>
        <v>0</v>
      </c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87"/>
    </row>
    <row r="80" spans="1:261" s="22" customFormat="1" ht="12.6" customHeight="1">
      <c r="A80" s="128">
        <v>4</v>
      </c>
      <c r="B80" s="129" t="s">
        <v>229</v>
      </c>
      <c r="C80" s="127">
        <f t="shared" si="78"/>
        <v>6094476</v>
      </c>
      <c r="D80" s="132">
        <f t="shared" ref="D80:T80" si="84">SUM(D81:D85)</f>
        <v>218163</v>
      </c>
      <c r="E80" s="132">
        <f t="shared" si="84"/>
        <v>0</v>
      </c>
      <c r="F80" s="132">
        <f t="shared" si="84"/>
        <v>605000</v>
      </c>
      <c r="G80" s="132">
        <f t="shared" ref="G80" si="85">SUM(G81:G85)</f>
        <v>0</v>
      </c>
      <c r="H80" s="132">
        <f t="shared" si="84"/>
        <v>250000</v>
      </c>
      <c r="I80" s="132">
        <f t="shared" si="84"/>
        <v>0</v>
      </c>
      <c r="J80" s="132">
        <f t="shared" si="84"/>
        <v>20313</v>
      </c>
      <c r="K80" s="132">
        <f t="shared" ref="K80" si="86">SUM(K81:K85)</f>
        <v>0</v>
      </c>
      <c r="L80" s="132">
        <f t="shared" si="84"/>
        <v>0</v>
      </c>
      <c r="M80" s="132">
        <f t="shared" si="84"/>
        <v>0</v>
      </c>
      <c r="N80" s="132">
        <f t="shared" si="84"/>
        <v>0</v>
      </c>
      <c r="O80" s="132">
        <f t="shared" ref="O80:P80" si="87">SUM(O81:O85)</f>
        <v>0</v>
      </c>
      <c r="P80" s="132">
        <f t="shared" si="87"/>
        <v>0</v>
      </c>
      <c r="Q80" s="132">
        <f t="shared" si="84"/>
        <v>5000000</v>
      </c>
      <c r="R80" s="132">
        <f t="shared" si="84"/>
        <v>0</v>
      </c>
      <c r="S80" s="132">
        <f t="shared" si="84"/>
        <v>1000</v>
      </c>
      <c r="T80" s="132">
        <f t="shared" si="84"/>
        <v>0</v>
      </c>
      <c r="U80" s="132">
        <f t="shared" ref="U80" si="88">SUM(U81:U85)</f>
        <v>0</v>
      </c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3"/>
      <c r="GF80" s="73"/>
      <c r="GG80" s="73"/>
      <c r="GH80" s="73"/>
      <c r="GI80" s="73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  <c r="IW80" s="74"/>
      <c r="IX80" s="74"/>
      <c r="IY80" s="74"/>
      <c r="IZ80" s="74"/>
      <c r="JA80" s="74"/>
    </row>
    <row r="81" spans="1:261" s="14" customFormat="1" ht="12.6" customHeight="1">
      <c r="A81" s="11">
        <v>41</v>
      </c>
      <c r="B81" s="12" t="s">
        <v>362</v>
      </c>
      <c r="C81" s="134">
        <f t="shared" si="78"/>
        <v>150000</v>
      </c>
      <c r="D81" s="141">
        <f>SUMIFS('Plan rashoda za unos u SAP'!$J$3:$J$501,'Plan rashoda za unos u SAP'!$C$3:$C$501,"=11",'Plan rashoda za unos u SAP'!$N$3:$N$501,"=41")</f>
        <v>0</v>
      </c>
      <c r="E81" s="141">
        <f>SUMIFS('Plan rashoda za unos u SAP'!$J$3:$J$501,'Plan rashoda za unos u SAP'!$C$3:$C$501,"=12",'Plan rashoda za unos u SAP'!$N$3:$N$501,"=41")</f>
        <v>0</v>
      </c>
      <c r="F81" s="141">
        <f>SUMIFS('Plan rashoda za unos u SAP'!$J$3:$J$501,'Plan rashoda za unos u SAP'!$C$3:$C$501,"=31",'Plan rashoda za unos u SAP'!$N$3:$N$501,"=41")</f>
        <v>150000</v>
      </c>
      <c r="G81" s="141">
        <f>SUMIFS('Plan rashoda za unos u SAP'!$J$3:$J$501,'Plan rashoda za unos u SAP'!$C$3:$C$501,"=41",'Plan rashoda za unos u SAP'!$N$3:$N$501,"=41")</f>
        <v>0</v>
      </c>
      <c r="H81" s="141">
        <f>SUMIFS('Plan rashoda za unos u SAP'!$J$3:$J$501,'Plan rashoda za unos u SAP'!$C$3:$C$501,"=43",'Plan rashoda za unos u SAP'!$N$3:$N$501,"=41")</f>
        <v>0</v>
      </c>
      <c r="I81" s="141">
        <f>SUMIFS('Plan rashoda za unos u SAP'!$J$3:$J$501,'Plan rashoda za unos u SAP'!$C$3:$C$501,"=51",'Plan rashoda za unos u SAP'!$N$3:$N$501,"=41")</f>
        <v>0</v>
      </c>
      <c r="J81" s="141">
        <f>SUMIFS('Plan rashoda za unos u SAP'!$J$3:$J$501,'Plan rashoda za unos u SAP'!$C$3:$C$501,"=52",'Plan rashoda za unos u SAP'!$N$3:$N$501,"=41")</f>
        <v>0</v>
      </c>
      <c r="K81" s="141">
        <f>SUMIFS('Plan rashoda za unos u SAP'!$J$3:$J$501,'Plan rashoda za unos u SAP'!$C$3:$C$501,"=552",'Plan rashoda za unos u SAP'!$N$3:$N$501,"=41")</f>
        <v>0</v>
      </c>
      <c r="L81" s="141">
        <f>SUMIFS('Plan rashoda za unos u SAP'!$J$3:$J$501,'Plan rashoda za unos u SAP'!$C$3:$C$501,"=559",'Plan rashoda za unos u SAP'!$N$3:$N$501,"=41")</f>
        <v>0</v>
      </c>
      <c r="M81" s="141">
        <f>SUMIFS('Plan rashoda za unos u SAP'!$J$3:$J$501,'Plan rashoda za unos u SAP'!$C$3:$C$501,"=561",'Plan rashoda za unos u SAP'!$N$3:$N$501,"=41")</f>
        <v>0</v>
      </c>
      <c r="N81" s="141">
        <f>SUMIFS('Plan rashoda za unos u SAP'!$J$3:$J$501,'Plan rashoda za unos u SAP'!$C$3:$C$501,"=563",'Plan rashoda za unos u SAP'!$N$3:$N$501,"=41")</f>
        <v>0</v>
      </c>
      <c r="O81" s="141">
        <f>SUMIFS('Plan rashoda za unos u SAP'!$J$3:$J$501,'Plan rashoda za unos u SAP'!$C$3:$C$501,"=573",'Plan rashoda za unos u SAP'!$N$3:$N$501,"=41")</f>
        <v>0</v>
      </c>
      <c r="P81" s="141">
        <f>SUMIFS('Plan rashoda za unos u SAP'!$J$3:$J$501,'Plan rashoda za unos u SAP'!$C$3:$C$501,"=575",'Plan rashoda za unos u SAP'!$N$3:$N$501,"=41")</f>
        <v>0</v>
      </c>
      <c r="Q81" s="141">
        <f>SUMIFS('Plan rashoda za unos u SAP'!$J$3:$J$501,'Plan rashoda za unos u SAP'!$C$3:$C$501,"=61",'Plan rashoda za unos u SAP'!$N$3:$N$501,"=41")</f>
        <v>0</v>
      </c>
      <c r="R81" s="141">
        <f>SUMIFS('Plan rashoda za unos u SAP'!$J$3:$J$501,'Plan rashoda za unos u SAP'!$C$3:$C$501,"=63",'Plan rashoda za unos u SAP'!$N$3:$N$501,"=41")</f>
        <v>0</v>
      </c>
      <c r="S81" s="141">
        <f>SUMIFS('Plan rashoda za unos u SAP'!$J$3:$J$501,'Plan rashoda za unos u SAP'!$C$3:$C$501,"=71",'Plan rashoda za unos u SAP'!$N$3:$N$501,"=41")</f>
        <v>0</v>
      </c>
      <c r="T81" s="141">
        <f>SUMIFS('Plan rashoda za unos u SAP'!$J$3:$J$501,'Plan rashoda za unos u SAP'!$C$3:$C$501,"=81",'Plan rashoda za unos u SAP'!$N$3:$N$501,"=41")</f>
        <v>0</v>
      </c>
      <c r="U81" s="141">
        <f>SUMIFS('Plan rashoda za unos u SAP'!$J$3:$J$501,'Plan rashoda za unos u SAP'!$C$3:$C$501,"=83",'Plan rashoda za unos u SAP'!$N$3:$N$501,"=41")</f>
        <v>0</v>
      </c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  <c r="IW81" s="87"/>
      <c r="IX81" s="87"/>
      <c r="IY81" s="87"/>
      <c r="IZ81" s="87"/>
      <c r="JA81" s="87"/>
    </row>
    <row r="82" spans="1:261" s="21" customFormat="1" ht="12.6" customHeight="1">
      <c r="A82" s="85">
        <v>42</v>
      </c>
      <c r="B82" s="16" t="s">
        <v>283</v>
      </c>
      <c r="C82" s="134">
        <f t="shared" si="78"/>
        <v>5924163</v>
      </c>
      <c r="D82" s="141">
        <f>SUMIFS('Plan rashoda za unos u SAP'!$J$3:$J$501,'Plan rashoda za unos u SAP'!$C$3:$C$501,"=11",'Plan rashoda za unos u SAP'!$N$3:$N$501,"=42")</f>
        <v>218163</v>
      </c>
      <c r="E82" s="141">
        <f>SUMIFS('Plan rashoda za unos u SAP'!$J$3:$J$501,'Plan rashoda za unos u SAP'!$C$3:$C$501,"=12",'Plan rashoda za unos u SAP'!$N$3:$N$501,"=42")</f>
        <v>0</v>
      </c>
      <c r="F82" s="141">
        <f>SUMIFS('Plan rashoda za unos u SAP'!$J$3:$J$501,'Plan rashoda za unos u SAP'!$C$3:$C$501,"=31",'Plan rashoda za unos u SAP'!$N$3:$N$501,"=42")</f>
        <v>455000</v>
      </c>
      <c r="G82" s="141">
        <f>SUMIFS('Plan rashoda za unos u SAP'!$J$3:$J$501,'Plan rashoda za unos u SAP'!$C$3:$C$501,"=41",'Plan rashoda za unos u SAP'!$N$3:$N$501,"=42")</f>
        <v>0</v>
      </c>
      <c r="H82" s="141">
        <f>SUMIFS('Plan rashoda za unos u SAP'!$J$3:$J$501,'Plan rashoda za unos u SAP'!$C$3:$C$501,"=43",'Plan rashoda za unos u SAP'!$N$3:$N$501,"=42")</f>
        <v>250000</v>
      </c>
      <c r="I82" s="141">
        <f>SUMIFS('Plan rashoda za unos u SAP'!$J$3:$J$501,'Plan rashoda za unos u SAP'!$C$3:$C$501,"=51",'Plan rashoda za unos u SAP'!$N$3:$N$501,"=42")</f>
        <v>0</v>
      </c>
      <c r="J82" s="141">
        <f>SUMIFS('Plan rashoda za unos u SAP'!$J$3:$J$501,'Plan rashoda za unos u SAP'!$C$3:$C$501,"=52",'Plan rashoda za unos u SAP'!$N$3:$N$501,"=42")</f>
        <v>0</v>
      </c>
      <c r="K82" s="141">
        <f>SUMIFS('Plan rashoda za unos u SAP'!$J$3:$J$501,'Plan rashoda za unos u SAP'!$C$3:$C$501,"=552",'Plan rashoda za unos u SAP'!$N$3:$N$501,"=42")</f>
        <v>0</v>
      </c>
      <c r="L82" s="141">
        <f>SUMIFS('Plan rashoda za unos u SAP'!$J$3:$J$501,'Plan rashoda za unos u SAP'!$C$3:$C$501,"=559",'Plan rashoda za unos u SAP'!$N$3:$N$501,"=42")</f>
        <v>0</v>
      </c>
      <c r="M82" s="141">
        <f>SUMIFS('Plan rashoda za unos u SAP'!$J$3:$J$501,'Plan rashoda za unos u SAP'!$C$3:$C$501,"=561",'Plan rashoda za unos u SAP'!$N$3:$N$501,"=42")</f>
        <v>0</v>
      </c>
      <c r="N82" s="141">
        <f>SUMIFS('Plan rashoda za unos u SAP'!$J$3:$J$501,'Plan rashoda za unos u SAP'!$C$3:$C$501,"=563",'Plan rashoda za unos u SAP'!$N$3:$N$501,"=42")</f>
        <v>0</v>
      </c>
      <c r="O82" s="141">
        <f>SUMIFS('Plan rashoda za unos u SAP'!$J$3:$J$501,'Plan rashoda za unos u SAP'!$C$3:$C$501,"=573",'Plan rashoda za unos u SAP'!$N$3:$N$501,"=42")</f>
        <v>0</v>
      </c>
      <c r="P82" s="141">
        <f>SUMIFS('Plan rashoda za unos u SAP'!$J$3:$J$501,'Plan rashoda za unos u SAP'!$C$3:$C$501,"=575",'Plan rashoda za unos u SAP'!$N$3:$N$501,"=42")</f>
        <v>0</v>
      </c>
      <c r="Q82" s="141">
        <f>SUMIFS('Plan rashoda za unos u SAP'!$J$3:$J$501,'Plan rashoda za unos u SAP'!$C$3:$C$501,"=61",'Plan rashoda za unos u SAP'!$N$3:$N$501,"=42")</f>
        <v>5000000</v>
      </c>
      <c r="R82" s="141">
        <f>SUMIFS('Plan rashoda za unos u SAP'!$J$3:$J$501,'Plan rashoda za unos u SAP'!$C$3:$C$501,"=63",'Plan rashoda za unos u SAP'!$N$3:$N$501,"=42")</f>
        <v>0</v>
      </c>
      <c r="S82" s="141">
        <f>SUMIFS('Plan rashoda za unos u SAP'!$J$3:$J$501,'Plan rashoda za unos u SAP'!$C$3:$C$501,"=71",'Plan rashoda za unos u SAP'!$N$3:$N$501,"=42")</f>
        <v>1000</v>
      </c>
      <c r="T82" s="141">
        <f>SUMIFS('Plan rashoda za unos u SAP'!$J$3:$J$501,'Plan rashoda za unos u SAP'!$C$3:$C$501,"=81",'Plan rashoda za unos u SAP'!$N$3:$N$501,"=42")</f>
        <v>0</v>
      </c>
      <c r="U82" s="141">
        <f>SUMIFS('Plan rashoda za unos u SAP'!$J$3:$J$501,'Plan rashoda za unos u SAP'!$C$3:$C$501,"=83",'Plan rashoda za unos u SAP'!$N$3:$N$501,"=42")</f>
        <v>0</v>
      </c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  <c r="IW82" s="87"/>
      <c r="IX82" s="87"/>
      <c r="IY82" s="87"/>
      <c r="IZ82" s="87"/>
      <c r="JA82" s="87"/>
    </row>
    <row r="83" spans="1:261" s="14" customFormat="1" ht="12.6" customHeight="1">
      <c r="A83" s="11">
        <v>43</v>
      </c>
      <c r="B83" s="12" t="s">
        <v>366</v>
      </c>
      <c r="C83" s="134">
        <f t="shared" si="78"/>
        <v>0</v>
      </c>
      <c r="D83" s="141">
        <f>SUMIFS('Plan rashoda za unos u SAP'!$J$3:$J$501,'Plan rashoda za unos u SAP'!$C$3:$C$501,"=11",'Plan rashoda za unos u SAP'!$N$3:$N$501,"=43")</f>
        <v>0</v>
      </c>
      <c r="E83" s="141">
        <f>SUMIFS('Plan rashoda za unos u SAP'!$J$3:$J$501,'Plan rashoda za unos u SAP'!$C$3:$C$501,"=12",'Plan rashoda za unos u SAP'!$N$3:$N$501,"=43")</f>
        <v>0</v>
      </c>
      <c r="F83" s="141">
        <f>SUMIFS('Plan rashoda za unos u SAP'!$J$3:$J$501,'Plan rashoda za unos u SAP'!$C$3:$C$501,"=31",'Plan rashoda za unos u SAP'!$N$3:$N$501,"=43")</f>
        <v>0</v>
      </c>
      <c r="G83" s="141">
        <f>SUMIFS('Plan rashoda za unos u SAP'!$J$3:$J$501,'Plan rashoda za unos u SAP'!$C$3:$C$501,"=41",'Plan rashoda za unos u SAP'!$N$3:$N$501,"=43")</f>
        <v>0</v>
      </c>
      <c r="H83" s="141">
        <f>SUMIFS('Plan rashoda za unos u SAP'!$J$3:$J$501,'Plan rashoda za unos u SAP'!$C$3:$C$501,"=43",'Plan rashoda za unos u SAP'!$N$3:$N$501,"=43")</f>
        <v>0</v>
      </c>
      <c r="I83" s="141">
        <f>SUMIFS('Plan rashoda za unos u SAP'!$J$3:$J$501,'Plan rashoda za unos u SAP'!$C$3:$C$501,"=51",'Plan rashoda za unos u SAP'!$N$3:$N$501,"=43")</f>
        <v>0</v>
      </c>
      <c r="J83" s="141">
        <f>SUMIFS('Plan rashoda za unos u SAP'!$J$3:$J$501,'Plan rashoda za unos u SAP'!$C$3:$C$501,"=52",'Plan rashoda za unos u SAP'!$N$3:$N$501,"=43")</f>
        <v>0</v>
      </c>
      <c r="K83" s="141">
        <f>SUMIFS('Plan rashoda za unos u SAP'!$J$3:$J$501,'Plan rashoda za unos u SAP'!$C$3:$C$501,"=552",'Plan rashoda za unos u SAP'!$N$3:$N$501,"=43")</f>
        <v>0</v>
      </c>
      <c r="L83" s="141">
        <f>SUMIFS('Plan rashoda za unos u SAP'!$J$3:$J$501,'Plan rashoda za unos u SAP'!$C$3:$C$501,"=559",'Plan rashoda za unos u SAP'!$N$3:$N$501,"=43")</f>
        <v>0</v>
      </c>
      <c r="M83" s="141">
        <f>SUMIFS('Plan rashoda za unos u SAP'!$J$3:$J$501,'Plan rashoda za unos u SAP'!$C$3:$C$501,"=561",'Plan rashoda za unos u SAP'!$N$3:$N$501,"=43")</f>
        <v>0</v>
      </c>
      <c r="N83" s="141">
        <f>SUMIFS('Plan rashoda za unos u SAP'!$J$3:$J$501,'Plan rashoda za unos u SAP'!$C$3:$C$501,"=563",'Plan rashoda za unos u SAP'!$N$3:$N$501,"=43")</f>
        <v>0</v>
      </c>
      <c r="O83" s="141">
        <f>SUMIFS('Plan rashoda za unos u SAP'!$J$3:$J$501,'Plan rashoda za unos u SAP'!$C$3:$C$501,"=573",'Plan rashoda za unos u SAP'!$N$3:$N$501,"=43")</f>
        <v>0</v>
      </c>
      <c r="P83" s="141">
        <f>SUMIFS('Plan rashoda za unos u SAP'!$J$3:$J$501,'Plan rashoda za unos u SAP'!$C$3:$C$501,"=575",'Plan rashoda za unos u SAP'!$N$3:$N$501,"=43")</f>
        <v>0</v>
      </c>
      <c r="Q83" s="141">
        <f>SUMIFS('Plan rashoda za unos u SAP'!$J$3:$J$501,'Plan rashoda za unos u SAP'!$C$3:$C$501,"=61",'Plan rashoda za unos u SAP'!$N$3:$N$501,"=43")</f>
        <v>0</v>
      </c>
      <c r="R83" s="141">
        <f>SUMIFS('Plan rashoda za unos u SAP'!$J$3:$J$501,'Plan rashoda za unos u SAP'!$C$3:$C$501,"=63",'Plan rashoda za unos u SAP'!$N$3:$N$501,"=43")</f>
        <v>0</v>
      </c>
      <c r="S83" s="141">
        <f>SUMIFS('Plan rashoda za unos u SAP'!$J$3:$J$501,'Plan rashoda za unos u SAP'!$C$3:$C$501,"=71",'Plan rashoda za unos u SAP'!$N$3:$N$501,"=43")</f>
        <v>0</v>
      </c>
      <c r="T83" s="141">
        <f>SUMIFS('Plan rashoda za unos u SAP'!$J$3:$J$501,'Plan rashoda za unos u SAP'!$C$3:$C$501,"=81",'Plan rashoda za unos u SAP'!$N$3:$N$501,"=43")</f>
        <v>0</v>
      </c>
      <c r="U83" s="141">
        <f>SUMIFS('Plan rashoda za unos u SAP'!$J$3:$J$501,'Plan rashoda za unos u SAP'!$C$3:$C$501,"=83",'Plan rashoda za unos u SAP'!$N$3:$N$501,"=43")</f>
        <v>0</v>
      </c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0"/>
      <c r="GF83" s="80"/>
      <c r="GG83" s="80"/>
      <c r="GH83" s="80"/>
      <c r="GI83" s="80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  <c r="IW83" s="81"/>
      <c r="IX83" s="81"/>
      <c r="IY83" s="81"/>
      <c r="IZ83" s="81"/>
      <c r="JA83" s="81"/>
    </row>
    <row r="84" spans="1:261" s="14" customFormat="1" ht="12.6" customHeight="1">
      <c r="A84" s="11">
        <v>44</v>
      </c>
      <c r="B84" s="12" t="s">
        <v>367</v>
      </c>
      <c r="C84" s="134">
        <f t="shared" si="78"/>
        <v>0</v>
      </c>
      <c r="D84" s="141">
        <f>SUMIFS('Plan rashoda za unos u SAP'!$J$3:$J$501,'Plan rashoda za unos u SAP'!$C$3:$C$501,"=11",'Plan rashoda za unos u SAP'!$N$3:$N$501,"=44")</f>
        <v>0</v>
      </c>
      <c r="E84" s="141">
        <f>SUMIFS('Plan rashoda za unos u SAP'!$J$3:$J$501,'Plan rashoda za unos u SAP'!$C$3:$C$501,"=12",'Plan rashoda za unos u SAP'!$N$3:$N$501,"=44")</f>
        <v>0</v>
      </c>
      <c r="F84" s="141">
        <f>SUMIFS('Plan rashoda za unos u SAP'!$J$3:$J$501,'Plan rashoda za unos u SAP'!$C$3:$C$501,"=31",'Plan rashoda za unos u SAP'!$N$3:$N$501,"=44")</f>
        <v>0</v>
      </c>
      <c r="G84" s="141">
        <f>SUMIFS('Plan rashoda za unos u SAP'!$J$3:$J$501,'Plan rashoda za unos u SAP'!$C$3:$C$501,"=41",'Plan rashoda za unos u SAP'!$N$3:$N$501,"=44")</f>
        <v>0</v>
      </c>
      <c r="H84" s="141">
        <f>SUMIFS('Plan rashoda za unos u SAP'!$J$3:$J$501,'Plan rashoda za unos u SAP'!$C$3:$C$501,"=43",'Plan rashoda za unos u SAP'!$N$3:$N$501,"=44")</f>
        <v>0</v>
      </c>
      <c r="I84" s="141">
        <f>SUMIFS('Plan rashoda za unos u SAP'!$J$3:$J$501,'Plan rashoda za unos u SAP'!$C$3:$C$501,"=51",'Plan rashoda za unos u SAP'!$N$3:$N$501,"=44")</f>
        <v>0</v>
      </c>
      <c r="J84" s="141">
        <f>SUMIFS('Plan rashoda za unos u SAP'!$J$3:$J$501,'Plan rashoda za unos u SAP'!$C$3:$C$501,"=52",'Plan rashoda za unos u SAP'!$N$3:$N$501,"=44")</f>
        <v>0</v>
      </c>
      <c r="K84" s="141">
        <f>SUMIFS('Plan rashoda za unos u SAP'!$J$3:$J$501,'Plan rashoda za unos u SAP'!$C$3:$C$501,"=552",'Plan rashoda za unos u SAP'!$N$3:$N$501,"=44")</f>
        <v>0</v>
      </c>
      <c r="L84" s="141">
        <f>SUMIFS('Plan rashoda za unos u SAP'!$J$3:$J$501,'Plan rashoda za unos u SAP'!$C$3:$C$501,"=559",'Plan rashoda za unos u SAP'!$N$3:$N$501,"=44")</f>
        <v>0</v>
      </c>
      <c r="M84" s="141">
        <f>SUMIFS('Plan rashoda za unos u SAP'!$J$3:$J$501,'Plan rashoda za unos u SAP'!$C$3:$C$501,"=561",'Plan rashoda za unos u SAP'!$N$3:$N$501,"=44")</f>
        <v>0</v>
      </c>
      <c r="N84" s="141">
        <f>SUMIFS('Plan rashoda za unos u SAP'!$J$3:$J$501,'Plan rashoda za unos u SAP'!$C$3:$C$501,"=563",'Plan rashoda za unos u SAP'!$N$3:$N$501,"=44")</f>
        <v>0</v>
      </c>
      <c r="O84" s="141">
        <f>SUMIFS('Plan rashoda za unos u SAP'!$J$3:$J$501,'Plan rashoda za unos u SAP'!$C$3:$C$501,"=573",'Plan rashoda za unos u SAP'!$N$3:$N$501,"=44")</f>
        <v>0</v>
      </c>
      <c r="P84" s="141">
        <f>SUMIFS('Plan rashoda za unos u SAP'!$J$3:$J$501,'Plan rashoda za unos u SAP'!$C$3:$C$501,"=575",'Plan rashoda za unos u SAP'!$N$3:$N$501,"=44")</f>
        <v>0</v>
      </c>
      <c r="Q84" s="141">
        <f>SUMIFS('Plan rashoda za unos u SAP'!$J$3:$J$501,'Plan rashoda za unos u SAP'!$C$3:$C$501,"=61",'Plan rashoda za unos u SAP'!$N$3:$N$501,"=44")</f>
        <v>0</v>
      </c>
      <c r="R84" s="141">
        <f>SUMIFS('Plan rashoda za unos u SAP'!$J$3:$J$501,'Plan rashoda za unos u SAP'!$C$3:$C$501,"=63",'Plan rashoda za unos u SAP'!$N$3:$N$501,"=44")</f>
        <v>0</v>
      </c>
      <c r="S84" s="141">
        <f>SUMIFS('Plan rashoda za unos u SAP'!$J$3:$J$501,'Plan rashoda za unos u SAP'!$C$3:$C$501,"=71",'Plan rashoda za unos u SAP'!$N$3:$N$501,"=44")</f>
        <v>0</v>
      </c>
      <c r="T84" s="141">
        <f>SUMIFS('Plan rashoda za unos u SAP'!$J$3:$J$501,'Plan rashoda za unos u SAP'!$C$3:$C$501,"=81",'Plan rashoda za unos u SAP'!$N$3:$N$501,"=44")</f>
        <v>0</v>
      </c>
      <c r="U84" s="141">
        <f>SUMIFS('Plan rashoda za unos u SAP'!$J$3:$J$501,'Plan rashoda za unos u SAP'!$C$3:$C$501,"=83",'Plan rashoda za unos u SAP'!$N$3:$N$501,"=44")</f>
        <v>0</v>
      </c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0"/>
      <c r="GF84" s="80"/>
      <c r="GG84" s="80"/>
      <c r="GH84" s="80"/>
      <c r="GI84" s="80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  <c r="IW84" s="81"/>
      <c r="IX84" s="81"/>
      <c r="IY84" s="81"/>
      <c r="IZ84" s="81"/>
      <c r="JA84" s="81"/>
    </row>
    <row r="85" spans="1:261" s="21" customFormat="1" ht="12.6" customHeight="1">
      <c r="A85" s="85">
        <v>45</v>
      </c>
      <c r="B85" s="16" t="s">
        <v>235</v>
      </c>
      <c r="C85" s="134">
        <f t="shared" si="78"/>
        <v>20313</v>
      </c>
      <c r="D85" s="141">
        <f>SUMIFS('Plan rashoda za unos u SAP'!$J$3:$J$501,'Plan rashoda za unos u SAP'!$C$3:$C$501,"=11",'Plan rashoda za unos u SAP'!$N$3:$N$501,"=45")</f>
        <v>0</v>
      </c>
      <c r="E85" s="141">
        <f>SUMIFS('Plan rashoda za unos u SAP'!$J$3:$J$501,'Plan rashoda za unos u SAP'!$C$3:$C$501,"=12",'Plan rashoda za unos u SAP'!$N$3:$N$501,"=45")</f>
        <v>0</v>
      </c>
      <c r="F85" s="141">
        <f>SUMIFS('Plan rashoda za unos u SAP'!$J$3:$J$501,'Plan rashoda za unos u SAP'!$C$3:$C$501,"=31",'Plan rashoda za unos u SAP'!$N$3:$N$501,"=45")</f>
        <v>0</v>
      </c>
      <c r="G85" s="141">
        <f>SUMIFS('Plan rashoda za unos u SAP'!$J$3:$J$501,'Plan rashoda za unos u SAP'!$C$3:$C$501,"=41",'Plan rashoda za unos u SAP'!$N$3:$N$501,"=45")</f>
        <v>0</v>
      </c>
      <c r="H85" s="141">
        <f>SUMIFS('Plan rashoda za unos u SAP'!$J$3:$J$501,'Plan rashoda za unos u SAP'!$C$3:$C$501,"=43",'Plan rashoda za unos u SAP'!$N$3:$N$501,"=45")</f>
        <v>0</v>
      </c>
      <c r="I85" s="141">
        <f>SUMIFS('Plan rashoda za unos u SAP'!$J$3:$J$501,'Plan rashoda za unos u SAP'!$C$3:$C$501,"=51",'Plan rashoda za unos u SAP'!$N$3:$N$501,"=45")</f>
        <v>0</v>
      </c>
      <c r="J85" s="141">
        <f>SUMIFS('Plan rashoda za unos u SAP'!$J$3:$J$501,'Plan rashoda za unos u SAP'!$C$3:$C$501,"=52",'Plan rashoda za unos u SAP'!$N$3:$N$501,"=45")</f>
        <v>20313</v>
      </c>
      <c r="K85" s="141">
        <f>SUMIFS('Plan rashoda za unos u SAP'!$J$3:$J$501,'Plan rashoda za unos u SAP'!$C$3:$C$501,"=552",'Plan rashoda za unos u SAP'!$N$3:$N$501,"=45")</f>
        <v>0</v>
      </c>
      <c r="L85" s="141">
        <f>SUMIFS('Plan rashoda za unos u SAP'!$J$3:$J$501,'Plan rashoda za unos u SAP'!$C$3:$C$501,"=559",'Plan rashoda za unos u SAP'!$N$3:$N$501,"=45")</f>
        <v>0</v>
      </c>
      <c r="M85" s="141">
        <f>SUMIFS('Plan rashoda za unos u SAP'!$J$3:$J$501,'Plan rashoda za unos u SAP'!$C$3:$C$501,"=561",'Plan rashoda za unos u SAP'!$N$3:$N$501,"=45")</f>
        <v>0</v>
      </c>
      <c r="N85" s="141">
        <f>SUMIFS('Plan rashoda za unos u SAP'!$J$3:$J$501,'Plan rashoda za unos u SAP'!$C$3:$C$501,"=563",'Plan rashoda za unos u SAP'!$N$3:$N$501,"=45")</f>
        <v>0</v>
      </c>
      <c r="O85" s="141">
        <f>SUMIFS('Plan rashoda za unos u SAP'!$J$3:$J$501,'Plan rashoda za unos u SAP'!$C$3:$C$501,"=573",'Plan rashoda za unos u SAP'!$N$3:$N$501,"=45")</f>
        <v>0</v>
      </c>
      <c r="P85" s="141">
        <f>SUMIFS('Plan rashoda za unos u SAP'!$J$3:$J$501,'Plan rashoda za unos u SAP'!$C$3:$C$501,"=575",'Plan rashoda za unos u SAP'!$N$3:$N$501,"=45")</f>
        <v>0</v>
      </c>
      <c r="Q85" s="141">
        <f>SUMIFS('Plan rashoda za unos u SAP'!$J$3:$J$501,'Plan rashoda za unos u SAP'!$C$3:$C$501,"=61",'Plan rashoda za unos u SAP'!$N$3:$N$501,"=45")</f>
        <v>0</v>
      </c>
      <c r="R85" s="141">
        <f>SUMIFS('Plan rashoda za unos u SAP'!$J$3:$J$501,'Plan rashoda za unos u SAP'!$C$3:$C$501,"=63",'Plan rashoda za unos u SAP'!$N$3:$N$501,"=45")</f>
        <v>0</v>
      </c>
      <c r="S85" s="141">
        <f>SUMIFS('Plan rashoda za unos u SAP'!$J$3:$J$501,'Plan rashoda za unos u SAP'!$C$3:$C$501,"=71",'Plan rashoda za unos u SAP'!$N$3:$N$501,"=45")</f>
        <v>0</v>
      </c>
      <c r="T85" s="141">
        <f>SUMIFS('Plan rashoda za unos u SAP'!$J$3:$J$501,'Plan rashoda za unos u SAP'!$C$3:$C$501,"=81",'Plan rashoda za unos u SAP'!$N$3:$N$501,"=45")</f>
        <v>0</v>
      </c>
      <c r="U85" s="141">
        <f>SUMIFS('Plan rashoda za unos u SAP'!$J$3:$J$501,'Plan rashoda za unos u SAP'!$C$3:$C$501,"=83",'Plan rashoda za unos u SAP'!$N$3:$N$501,"=45")</f>
        <v>0</v>
      </c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  <c r="IW85" s="87"/>
      <c r="IX85" s="87"/>
      <c r="IY85" s="87"/>
      <c r="IZ85" s="87"/>
      <c r="JA85" s="87"/>
    </row>
    <row r="86" spans="1:261" s="10" customFormat="1" ht="12.6" customHeight="1">
      <c r="A86" s="123">
        <v>5</v>
      </c>
      <c r="B86" s="124" t="s">
        <v>16</v>
      </c>
      <c r="C86" s="127">
        <f t="shared" si="78"/>
        <v>0</v>
      </c>
      <c r="D86" s="126">
        <f t="shared" ref="D86:T86" si="89">SUM(D87:D88)</f>
        <v>0</v>
      </c>
      <c r="E86" s="126">
        <f t="shared" si="89"/>
        <v>0</v>
      </c>
      <c r="F86" s="126">
        <f t="shared" si="89"/>
        <v>0</v>
      </c>
      <c r="G86" s="126">
        <f t="shared" ref="G86" si="90">SUM(G87:G88)</f>
        <v>0</v>
      </c>
      <c r="H86" s="126">
        <f t="shared" si="89"/>
        <v>0</v>
      </c>
      <c r="I86" s="126">
        <f t="shared" si="89"/>
        <v>0</v>
      </c>
      <c r="J86" s="126">
        <f t="shared" si="89"/>
        <v>0</v>
      </c>
      <c r="K86" s="126">
        <f t="shared" ref="K86" si="91">SUM(K87:K88)</f>
        <v>0</v>
      </c>
      <c r="L86" s="126">
        <f t="shared" si="89"/>
        <v>0</v>
      </c>
      <c r="M86" s="126">
        <f t="shared" si="89"/>
        <v>0</v>
      </c>
      <c r="N86" s="126">
        <f t="shared" si="89"/>
        <v>0</v>
      </c>
      <c r="O86" s="126">
        <f t="shared" ref="O86:P86" si="92">SUM(O87:O88)</f>
        <v>0</v>
      </c>
      <c r="P86" s="126">
        <f t="shared" si="92"/>
        <v>0</v>
      </c>
      <c r="Q86" s="126">
        <f t="shared" si="89"/>
        <v>0</v>
      </c>
      <c r="R86" s="126">
        <f t="shared" si="89"/>
        <v>0</v>
      </c>
      <c r="S86" s="126">
        <f t="shared" si="89"/>
        <v>0</v>
      </c>
      <c r="T86" s="126">
        <f t="shared" si="89"/>
        <v>0</v>
      </c>
      <c r="U86" s="126">
        <f t="shared" ref="U86" si="93">SUM(U87:U88)</f>
        <v>0</v>
      </c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3"/>
      <c r="GF86" s="73"/>
      <c r="GG86" s="73"/>
      <c r="GH86" s="73"/>
      <c r="GI86" s="73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  <c r="IW86" s="74"/>
      <c r="IX86" s="74"/>
      <c r="IY86" s="74"/>
      <c r="IZ86" s="74"/>
      <c r="JA86" s="74"/>
    </row>
    <row r="87" spans="1:261" s="14" customFormat="1" ht="12.6" customHeight="1">
      <c r="A87" s="11">
        <v>51</v>
      </c>
      <c r="B87" s="12" t="s">
        <v>379</v>
      </c>
      <c r="C87" s="79">
        <f t="shared" si="78"/>
        <v>0</v>
      </c>
      <c r="D87" s="141">
        <f>SUMIFS('Plan rashoda za unos u SAP'!$J$3:$J$501,'Plan rashoda za unos u SAP'!$C$3:$C$501,"=11",'Plan rashoda za unos u SAP'!$N$3:$N$501,"=51")</f>
        <v>0</v>
      </c>
      <c r="E87" s="141">
        <f>SUMIFS('Plan rashoda za unos u SAP'!$J$3:$J$501,'Plan rashoda za unos u SAP'!$C$3:$C$501,"=12",'Plan rashoda za unos u SAP'!$N$3:$N$501,"=51")</f>
        <v>0</v>
      </c>
      <c r="F87" s="141">
        <f>SUMIFS('Plan rashoda za unos u SAP'!$J$3:$J$501,'Plan rashoda za unos u SAP'!$C$3:$C$501,"=31",'Plan rashoda za unos u SAP'!$N$3:$N$501,"=51")</f>
        <v>0</v>
      </c>
      <c r="G87" s="141">
        <f>SUMIFS('Plan rashoda za unos u SAP'!$J$3:$J$501,'Plan rashoda za unos u SAP'!$C$3:$C$501,"=41",'Plan rashoda za unos u SAP'!$N$3:$N$501,"=51")</f>
        <v>0</v>
      </c>
      <c r="H87" s="141">
        <f>SUMIFS('Plan rashoda za unos u SAP'!$J$3:$J$501,'Plan rashoda za unos u SAP'!$C$3:$C$501,"=43",'Plan rashoda za unos u SAP'!$N$3:$N$501,"=51")</f>
        <v>0</v>
      </c>
      <c r="I87" s="141">
        <f>SUMIFS('Plan rashoda za unos u SAP'!$J$3:$J$501,'Plan rashoda za unos u SAP'!$C$3:$C$501,"=51",'Plan rashoda za unos u SAP'!$N$3:$N$501,"=51")</f>
        <v>0</v>
      </c>
      <c r="J87" s="141">
        <f>SUMIFS('Plan rashoda za unos u SAP'!$J$3:$J$501,'Plan rashoda za unos u SAP'!$C$3:$C$501,"=52",'Plan rashoda za unos u SAP'!$N$3:$N$501,"=51")</f>
        <v>0</v>
      </c>
      <c r="K87" s="141">
        <f>SUMIFS('Plan rashoda za unos u SAP'!$J$3:$J$501,'Plan rashoda za unos u SAP'!$C$3:$C$501,"=552",'Plan rashoda za unos u SAP'!$N$3:$N$501,"=51")</f>
        <v>0</v>
      </c>
      <c r="L87" s="141">
        <f>SUMIFS('Plan rashoda za unos u SAP'!$J$3:$J$501,'Plan rashoda za unos u SAP'!$C$3:$C$501,"=559",'Plan rashoda za unos u SAP'!$N$3:$N$501,"=51")</f>
        <v>0</v>
      </c>
      <c r="M87" s="141">
        <f>SUMIFS('Plan rashoda za unos u SAP'!$J$3:$J$501,'Plan rashoda za unos u SAP'!$C$3:$C$501,"=561",'Plan rashoda za unos u SAP'!$N$3:$N$501,"=51")</f>
        <v>0</v>
      </c>
      <c r="N87" s="141">
        <f>SUMIFS('Plan rashoda za unos u SAP'!$J$3:$J$501,'Plan rashoda za unos u SAP'!$C$3:$C$501,"=563",'Plan rashoda za unos u SAP'!$N$3:$N$501,"=51")</f>
        <v>0</v>
      </c>
      <c r="O87" s="141">
        <f>SUMIFS('Plan rashoda za unos u SAP'!$J$3:$J$501,'Plan rashoda za unos u SAP'!$C$3:$C$501,"=573",'Plan rashoda za unos u SAP'!$N$3:$N$501,"=51")</f>
        <v>0</v>
      </c>
      <c r="P87" s="141">
        <f>SUMIFS('Plan rashoda za unos u SAP'!$J$3:$J$501,'Plan rashoda za unos u SAP'!$C$3:$C$501,"=575",'Plan rashoda za unos u SAP'!$N$3:$N$501,"=51")</f>
        <v>0</v>
      </c>
      <c r="Q87" s="141">
        <f>SUMIFS('Plan rashoda za unos u SAP'!$J$3:$J$501,'Plan rashoda za unos u SAP'!$C$3:$C$501,"=61",'Plan rashoda za unos u SAP'!$N$3:$N$501,"=51")</f>
        <v>0</v>
      </c>
      <c r="R87" s="141">
        <f>SUMIFS('Plan rashoda za unos u SAP'!$J$3:$J$501,'Plan rashoda za unos u SAP'!$C$3:$C$501,"=63",'Plan rashoda za unos u SAP'!$N$3:$N$501,"=51")</f>
        <v>0</v>
      </c>
      <c r="S87" s="141">
        <f>SUMIFS('Plan rashoda za unos u SAP'!$J$3:$J$501,'Plan rashoda za unos u SAP'!$C$3:$C$501,"=71",'Plan rashoda za unos u SAP'!$N$3:$N$501,"=51")</f>
        <v>0</v>
      </c>
      <c r="T87" s="141">
        <f>SUMIFS('Plan rashoda za unos u SAP'!$J$3:$J$501,'Plan rashoda za unos u SAP'!$C$3:$C$501,"=81",'Plan rashoda za unos u SAP'!$N$3:$N$501,"=51")</f>
        <v>0</v>
      </c>
      <c r="U87" s="141">
        <f>SUMIFS('Plan rashoda za unos u SAP'!$J$3:$J$501,'Plan rashoda za unos u SAP'!$C$3:$C$501,"=83",'Plan rashoda za unos u SAP'!$N$3:$N$501,"=51")</f>
        <v>0</v>
      </c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  <c r="IW87" s="81"/>
      <c r="IX87" s="81"/>
      <c r="IY87" s="81"/>
      <c r="IZ87" s="81"/>
      <c r="JA87" s="81"/>
    </row>
    <row r="88" spans="1:261" s="14" customFormat="1" ht="12.6" customHeight="1">
      <c r="A88" s="11">
        <v>54</v>
      </c>
      <c r="B88" s="12" t="s">
        <v>380</v>
      </c>
      <c r="C88" s="79">
        <f t="shared" si="78"/>
        <v>0</v>
      </c>
      <c r="D88" s="141">
        <f>SUMIFS('Plan rashoda za unos u SAP'!$J$3:$J$501,'Plan rashoda za unos u SAP'!$C$3:$C$501,"=11",'Plan rashoda za unos u SAP'!$N$3:$N$501,"=54")</f>
        <v>0</v>
      </c>
      <c r="E88" s="141">
        <f>SUMIFS('Plan rashoda za unos u SAP'!$J$3:$J$501,'Plan rashoda za unos u SAP'!$C$3:$C$501,"=12",'Plan rashoda za unos u SAP'!$N$3:$N$501,"=54")</f>
        <v>0</v>
      </c>
      <c r="F88" s="141">
        <f>SUMIFS('Plan rashoda za unos u SAP'!$J$3:$J$501,'Plan rashoda za unos u SAP'!$C$3:$C$501,"=31",'Plan rashoda za unos u SAP'!$N$3:$N$501,"=54")</f>
        <v>0</v>
      </c>
      <c r="G88" s="141">
        <f>SUMIFS('Plan rashoda za unos u SAP'!$J$3:$J$501,'Plan rashoda za unos u SAP'!$C$3:$C$501,"=41",'Plan rashoda za unos u SAP'!$N$3:$N$501,"=54")</f>
        <v>0</v>
      </c>
      <c r="H88" s="141">
        <f>SUMIFS('Plan rashoda za unos u SAP'!$J$3:$J$501,'Plan rashoda za unos u SAP'!$C$3:$C$501,"=43",'Plan rashoda za unos u SAP'!$N$3:$N$501,"=54")</f>
        <v>0</v>
      </c>
      <c r="I88" s="141">
        <f>SUMIFS('Plan rashoda za unos u SAP'!$J$3:$J$501,'Plan rashoda za unos u SAP'!$C$3:$C$501,"=51",'Plan rashoda za unos u SAP'!$N$3:$N$501,"=54")</f>
        <v>0</v>
      </c>
      <c r="J88" s="141">
        <f>SUMIFS('Plan rashoda za unos u SAP'!$J$3:$J$501,'Plan rashoda za unos u SAP'!$C$3:$C$501,"=52",'Plan rashoda za unos u SAP'!$N$3:$N$501,"=54")</f>
        <v>0</v>
      </c>
      <c r="K88" s="141">
        <f>SUMIFS('Plan rashoda za unos u SAP'!$J$3:$J$501,'Plan rashoda za unos u SAP'!$C$3:$C$501,"=552",'Plan rashoda za unos u SAP'!$N$3:$N$501,"=54")</f>
        <v>0</v>
      </c>
      <c r="L88" s="141">
        <f>SUMIFS('Plan rashoda za unos u SAP'!$J$3:$J$501,'Plan rashoda za unos u SAP'!$C$3:$C$501,"=559",'Plan rashoda za unos u SAP'!$N$3:$N$501,"=54")</f>
        <v>0</v>
      </c>
      <c r="M88" s="141">
        <f>SUMIFS('Plan rashoda za unos u SAP'!$J$3:$J$501,'Plan rashoda za unos u SAP'!$C$3:$C$501,"=561",'Plan rashoda za unos u SAP'!$N$3:$N$501,"=54")</f>
        <v>0</v>
      </c>
      <c r="N88" s="141">
        <f>SUMIFS('Plan rashoda za unos u SAP'!$J$3:$J$501,'Plan rashoda za unos u SAP'!$C$3:$C$501,"=563",'Plan rashoda za unos u SAP'!$N$3:$N$501,"=54")</f>
        <v>0</v>
      </c>
      <c r="O88" s="141">
        <f>SUMIFS('Plan rashoda za unos u SAP'!$J$3:$J$501,'Plan rashoda za unos u SAP'!$C$3:$C$501,"=573",'Plan rashoda za unos u SAP'!$N$3:$N$501,"=54")</f>
        <v>0</v>
      </c>
      <c r="P88" s="141">
        <f>SUMIFS('Plan rashoda za unos u SAP'!$J$3:$J$501,'Plan rashoda za unos u SAP'!$C$3:$C$501,"=575",'Plan rashoda za unos u SAP'!$N$3:$N$501,"=54")</f>
        <v>0</v>
      </c>
      <c r="Q88" s="141">
        <f>SUMIFS('Plan rashoda za unos u SAP'!$J$3:$J$501,'Plan rashoda za unos u SAP'!$C$3:$C$501,"=61",'Plan rashoda za unos u SAP'!$N$3:$N$501,"=54")</f>
        <v>0</v>
      </c>
      <c r="R88" s="141">
        <f>SUMIFS('Plan rashoda za unos u SAP'!$J$3:$J$501,'Plan rashoda za unos u SAP'!$C$3:$C$501,"=63",'Plan rashoda za unos u SAP'!$N$3:$N$501,"=54")</f>
        <v>0</v>
      </c>
      <c r="S88" s="141">
        <f>SUMIFS('Plan rashoda za unos u SAP'!$J$3:$J$501,'Plan rashoda za unos u SAP'!$C$3:$C$501,"=71",'Plan rashoda za unos u SAP'!$N$3:$N$501,"=54")</f>
        <v>0</v>
      </c>
      <c r="T88" s="141">
        <f>SUMIFS('Plan rashoda za unos u SAP'!$J$3:$J$501,'Plan rashoda za unos u SAP'!$C$3:$C$501,"=81",'Plan rashoda za unos u SAP'!$N$3:$N$501,"=54")</f>
        <v>0</v>
      </c>
      <c r="U88" s="141">
        <f>SUMIFS('Plan rashoda za unos u SAP'!$J$3:$J$501,'Plan rashoda za unos u SAP'!$C$3:$C$501,"=83",'Plan rashoda za unos u SAP'!$N$3:$N$501,"=54")</f>
        <v>0</v>
      </c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  <c r="IW88" s="81"/>
      <c r="IX88" s="81"/>
      <c r="IY88" s="81"/>
      <c r="IZ88" s="81"/>
      <c r="JA88" s="81"/>
    </row>
    <row r="89" spans="1:261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  <c r="IW89" s="74"/>
      <c r="IX89" s="74"/>
      <c r="IY89" s="74"/>
      <c r="IZ89" s="74"/>
      <c r="JA89" s="74"/>
    </row>
    <row r="90" spans="1:261" s="75" customFormat="1" ht="71.45" customHeight="1">
      <c r="A90" s="94" t="s">
        <v>215</v>
      </c>
      <c r="B90" s="94" t="s">
        <v>216</v>
      </c>
      <c r="C90" s="2" t="s">
        <v>378</v>
      </c>
      <c r="D90" s="2" t="s">
        <v>52</v>
      </c>
      <c r="E90" s="2" t="s">
        <v>347</v>
      </c>
      <c r="F90" s="94" t="s">
        <v>19</v>
      </c>
      <c r="G90" s="94" t="s">
        <v>1667</v>
      </c>
      <c r="H90" s="94" t="s">
        <v>20</v>
      </c>
      <c r="I90" s="94" t="s">
        <v>295</v>
      </c>
      <c r="J90" s="94" t="s">
        <v>296</v>
      </c>
      <c r="K90" s="94" t="s">
        <v>1668</v>
      </c>
      <c r="L90" s="94" t="s">
        <v>297</v>
      </c>
      <c r="M90" s="94" t="s">
        <v>298</v>
      </c>
      <c r="N90" s="94" t="s">
        <v>299</v>
      </c>
      <c r="O90" s="94" t="s">
        <v>1669</v>
      </c>
      <c r="P90" s="94" t="s">
        <v>1670</v>
      </c>
      <c r="Q90" s="94" t="s">
        <v>300</v>
      </c>
      <c r="R90" s="94" t="s">
        <v>301</v>
      </c>
      <c r="S90" s="94" t="s">
        <v>1639</v>
      </c>
      <c r="T90" s="94" t="s">
        <v>1638</v>
      </c>
      <c r="U90" s="94" t="s">
        <v>1640</v>
      </c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  <c r="IW90" s="74"/>
      <c r="IX90" s="74"/>
      <c r="IY90" s="74"/>
      <c r="IZ90" s="74"/>
      <c r="JA90" s="74"/>
    </row>
    <row r="91" spans="1:261" s="23" customFormat="1" ht="19.5" customHeight="1">
      <c r="A91" s="120"/>
      <c r="B91" s="120" t="s">
        <v>372</v>
      </c>
      <c r="C91" s="121">
        <f>SUM(D91:U91)</f>
        <v>107770540</v>
      </c>
      <c r="D91" s="122">
        <f t="shared" ref="D91:U91" si="94">D92+D100+D106</f>
        <v>64944270</v>
      </c>
      <c r="E91" s="122">
        <f t="shared" si="94"/>
        <v>5037338</v>
      </c>
      <c r="F91" s="122">
        <f t="shared" si="94"/>
        <v>3073000</v>
      </c>
      <c r="G91" s="122">
        <f t="shared" ref="G91" si="95">G92+G100+G106</f>
        <v>0</v>
      </c>
      <c r="H91" s="122">
        <f t="shared" si="94"/>
        <v>1170000</v>
      </c>
      <c r="I91" s="122">
        <f t="shared" si="94"/>
        <v>0</v>
      </c>
      <c r="J91" s="122">
        <f t="shared" si="94"/>
        <v>0</v>
      </c>
      <c r="K91" s="122">
        <f t="shared" ref="K91" si="96">K92+K100+K106</f>
        <v>0</v>
      </c>
      <c r="L91" s="122">
        <f t="shared" si="94"/>
        <v>0</v>
      </c>
      <c r="M91" s="122">
        <f t="shared" si="94"/>
        <v>28544932</v>
      </c>
      <c r="N91" s="122">
        <f t="shared" si="94"/>
        <v>0</v>
      </c>
      <c r="O91" s="122">
        <f t="shared" ref="O91:P91" si="97">O92+O100+O106</f>
        <v>0</v>
      </c>
      <c r="P91" s="122">
        <f t="shared" si="97"/>
        <v>0</v>
      </c>
      <c r="Q91" s="122">
        <f t="shared" si="94"/>
        <v>5000000</v>
      </c>
      <c r="R91" s="122">
        <f t="shared" si="94"/>
        <v>0</v>
      </c>
      <c r="S91" s="122">
        <f t="shared" si="94"/>
        <v>1000</v>
      </c>
      <c r="T91" s="122">
        <f t="shared" si="94"/>
        <v>0</v>
      </c>
      <c r="U91" s="122">
        <f t="shared" si="94"/>
        <v>0</v>
      </c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7"/>
      <c r="AM91" s="77"/>
      <c r="AN91" s="77"/>
      <c r="AO91" s="77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</row>
    <row r="92" spans="1:261" s="10" customFormat="1" ht="12.6" customHeight="1">
      <c r="A92" s="123">
        <v>3</v>
      </c>
      <c r="B92" s="124" t="s">
        <v>217</v>
      </c>
      <c r="C92" s="125">
        <f t="shared" ref="C92:C108" si="98">SUM(D92:U92)</f>
        <v>101696377</v>
      </c>
      <c r="D92" s="131">
        <f t="shared" ref="D92:U92" si="99">SUM(D93:D99)</f>
        <v>64726107</v>
      </c>
      <c r="E92" s="131">
        <f t="shared" si="99"/>
        <v>5037338</v>
      </c>
      <c r="F92" s="131">
        <f t="shared" si="99"/>
        <v>2468000</v>
      </c>
      <c r="G92" s="131">
        <f t="shared" ref="G92" si="100">SUM(G93:G99)</f>
        <v>0</v>
      </c>
      <c r="H92" s="131">
        <f t="shared" si="99"/>
        <v>920000</v>
      </c>
      <c r="I92" s="131">
        <f t="shared" si="99"/>
        <v>0</v>
      </c>
      <c r="J92" s="131">
        <f t="shared" si="99"/>
        <v>0</v>
      </c>
      <c r="K92" s="131">
        <f t="shared" ref="K92" si="101">SUM(K93:K99)</f>
        <v>0</v>
      </c>
      <c r="L92" s="131">
        <f t="shared" si="99"/>
        <v>0</v>
      </c>
      <c r="M92" s="131">
        <f t="shared" si="99"/>
        <v>28544932</v>
      </c>
      <c r="N92" s="131">
        <f t="shared" si="99"/>
        <v>0</v>
      </c>
      <c r="O92" s="131">
        <f t="shared" ref="O92:P92" si="102">SUM(O93:O99)</f>
        <v>0</v>
      </c>
      <c r="P92" s="131">
        <f t="shared" si="102"/>
        <v>0</v>
      </c>
      <c r="Q92" s="131">
        <f t="shared" si="99"/>
        <v>0</v>
      </c>
      <c r="R92" s="131">
        <f t="shared" si="99"/>
        <v>0</v>
      </c>
      <c r="S92" s="131">
        <f t="shared" si="99"/>
        <v>0</v>
      </c>
      <c r="T92" s="131">
        <f t="shared" si="99"/>
        <v>0</v>
      </c>
      <c r="U92" s="131">
        <f t="shared" si="99"/>
        <v>0</v>
      </c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  <c r="IW92" s="74"/>
      <c r="IX92" s="74"/>
      <c r="IY92" s="74"/>
      <c r="IZ92" s="74"/>
      <c r="JA92" s="74"/>
    </row>
    <row r="93" spans="1:261" s="14" customFormat="1" ht="12.6" customHeight="1">
      <c r="A93" s="11">
        <v>31</v>
      </c>
      <c r="B93" s="12" t="s">
        <v>218</v>
      </c>
      <c r="C93" s="133">
        <f t="shared" si="98"/>
        <v>40703079</v>
      </c>
      <c r="D93" s="141">
        <f>SUMIFS('Plan rashoda za unos u SAP'!$K$3:$K$501,'Plan rashoda za unos u SAP'!$C$3:$C$501,"=11",'Plan rashoda za unos u SAP'!$N$3:$N$501,"=31")</f>
        <v>40365079</v>
      </c>
      <c r="E93" s="141">
        <f>SUMIFS('Plan rashoda za unos u SAP'!$K$3:$K$501,'Plan rashoda za unos u SAP'!$C$3:$C$501,"=12",'Plan rashoda za unos u SAP'!$N$3:$N$501,"=31")</f>
        <v>0</v>
      </c>
      <c r="F93" s="141">
        <f>SUMIFS('Plan rashoda za unos u SAP'!$K$3:$K$501,'Plan rashoda za unos u SAP'!$C$3:$C$501,"=31",'Plan rashoda za unos u SAP'!$N$3:$N$501,"=31")</f>
        <v>338000</v>
      </c>
      <c r="G93" s="141">
        <f>SUMIFS('Plan rashoda za unos u SAP'!$K$3:$K$501,'Plan rashoda za unos u SAP'!$C$3:$C$501,"=41",'Plan rashoda za unos u SAP'!$N$3:$N$501,"=41")</f>
        <v>0</v>
      </c>
      <c r="H93" s="141">
        <f>SUMIFS('Plan rashoda za unos u SAP'!$K$3:$K$501,'Plan rashoda za unos u SAP'!$C$3:$C$501,"=43",'Plan rashoda za unos u SAP'!$N$3:$N$501,"=31")</f>
        <v>0</v>
      </c>
      <c r="I93" s="141">
        <f>SUMIFS('Plan rashoda za unos u SAP'!$K$3:$K$501,'Plan rashoda za unos u SAP'!$C$3:$C$501,"=51",'Plan rashoda za unos u SAP'!$N$3:$N$501,"=31")</f>
        <v>0</v>
      </c>
      <c r="J93" s="141">
        <f>SUMIFS('Plan rashoda za unos u SAP'!$K$3:$K$501,'Plan rashoda za unos u SAP'!$C$3:$C$501,"=52",'Plan rashoda za unos u SAP'!$N$3:$N$501,"=31")</f>
        <v>0</v>
      </c>
      <c r="K93" s="141">
        <f>SUMIFS('Plan rashoda za unos u SAP'!$K$3:$K$501,'Plan rashoda za unos u SAP'!$C$3:$C$501,"=552",'Plan rashoda za unos u SAP'!$N$3:$N$501,"=552")</f>
        <v>0</v>
      </c>
      <c r="L93" s="141">
        <f>SUMIFS('Plan rashoda za unos u SAP'!$K$3:$K$501,'Plan rashoda za unos u SAP'!$C$3:$C$501,"=559",'Plan rashoda za unos u SAP'!$N$3:$N$501,"=31")</f>
        <v>0</v>
      </c>
      <c r="M93" s="141">
        <f>SUMIFS('Plan rashoda za unos u SAP'!$K$3:$K$501,'Plan rashoda za unos u SAP'!$C$3:$C$501,"=561",'Plan rashoda za unos u SAP'!$N$3:$N$501,"=31")</f>
        <v>0</v>
      </c>
      <c r="N93" s="141">
        <f>SUMIFS('Plan rashoda za unos u SAP'!$K$3:$K$501,'Plan rashoda za unos u SAP'!$C$3:$C$501,"=563",'Plan rashoda za unos u SAP'!$N$3:$N$501,"=31")</f>
        <v>0</v>
      </c>
      <c r="O93" s="141">
        <f>SUMIFS('Plan rashoda za unos u SAP'!$K$3:$K$501,'Plan rashoda za unos u SAP'!$C$3:$C$501,"=573",'Plan rashoda za unos u SAP'!$N$3:$N$501,"=573")</f>
        <v>0</v>
      </c>
      <c r="P93" s="141">
        <f>SUMIFS('Plan rashoda za unos u SAP'!$K$3:$K$501,'Plan rashoda za unos u SAP'!$C$3:$C$501,"=575",'Plan rashoda za unos u SAP'!$N$3:$N$501,"=575")</f>
        <v>0</v>
      </c>
      <c r="Q93" s="141">
        <f>SUMIFS('Plan rashoda za unos u SAP'!$K$3:$K$501,'Plan rashoda za unos u SAP'!$C$3:$C$501,"=61",'Plan rashoda za unos u SAP'!$N$3:$N$501,"=31")</f>
        <v>0</v>
      </c>
      <c r="R93" s="141">
        <f>SUMIFS('Plan rashoda za unos u SAP'!$K$3:$K$501,'Plan rashoda za unos u SAP'!$C$3:$C$501,"=63",'Plan rashoda za unos u SAP'!$N$3:$N$501,"=31")</f>
        <v>0</v>
      </c>
      <c r="S93" s="141">
        <f>SUMIFS('Plan rashoda za unos u SAP'!$K$3:$K$501,'Plan rashoda za unos u SAP'!$C$3:$C$501,"=71",'Plan rashoda za unos u SAP'!$N$3:$N$501,"=31")</f>
        <v>0</v>
      </c>
      <c r="T93" s="141">
        <f>SUMIFS('Plan rashoda za unos u SAP'!$K$3:$K$501,'Plan rashoda za unos u SAP'!$C$3:$C$501,"=81",'Plan rashoda za unos u SAP'!$N$3:$N$501,"=31")</f>
        <v>0</v>
      </c>
      <c r="U93" s="141">
        <f>SUMIFS('Plan rashoda za unos u SAP'!$K$3:$K$501,'Plan rashoda za unos u SAP'!$C$3:$C$501,"=83",'Plan rashoda za unos u SAP'!$N$3:$N$501,"=83")</f>
        <v>0</v>
      </c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6"/>
      <c r="GF93" s="86"/>
      <c r="GG93" s="86"/>
      <c r="GH93" s="86"/>
      <c r="GI93" s="86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  <c r="IW93" s="87"/>
      <c r="IX93" s="87"/>
      <c r="IY93" s="87"/>
      <c r="IZ93" s="87"/>
      <c r="JA93" s="87"/>
    </row>
    <row r="94" spans="1:261" s="86" customFormat="1" ht="12.6" customHeight="1">
      <c r="A94" s="85">
        <v>32</v>
      </c>
      <c r="B94" s="16" t="s">
        <v>219</v>
      </c>
      <c r="C94" s="134">
        <f t="shared" si="98"/>
        <v>60501788</v>
      </c>
      <c r="D94" s="141">
        <f>SUMIFS('Plan rashoda za unos u SAP'!$K$3:$K$501,'Plan rashoda za unos u SAP'!$C$3:$C$501,"=11",'Plan rashoda za unos u SAP'!$N$3:$N$501,"=32")</f>
        <v>23964518</v>
      </c>
      <c r="E94" s="141">
        <f>SUMIFS('Plan rashoda za unos u SAP'!$K$3:$K$501,'Plan rashoda za unos u SAP'!$C$3:$C$501,"=12",'Plan rashoda za unos u SAP'!$N$3:$N$501,"=32")</f>
        <v>5037338</v>
      </c>
      <c r="F94" s="141">
        <f>SUMIFS('Plan rashoda za unos u SAP'!$K$3:$K$501,'Plan rashoda za unos u SAP'!$C$3:$C$501,"=31",'Plan rashoda za unos u SAP'!$N$3:$N$501,"=32")</f>
        <v>2055000</v>
      </c>
      <c r="G94" s="141">
        <f>SUMIFS('Plan rashoda za unos u SAP'!$K$3:$K$501,'Plan rashoda za unos u SAP'!$C$3:$C$501,"=41",'Plan rashoda za unos u SAP'!$N$3:$N$501,"=32")</f>
        <v>0</v>
      </c>
      <c r="H94" s="141">
        <f>SUMIFS('Plan rashoda za unos u SAP'!$K$3:$K$501,'Plan rashoda za unos u SAP'!$C$3:$C$501,"=43",'Plan rashoda za unos u SAP'!$N$3:$N$501,"=32")</f>
        <v>900000</v>
      </c>
      <c r="I94" s="141">
        <f>SUMIFS('Plan rashoda za unos u SAP'!$K$3:$K$501,'Plan rashoda za unos u SAP'!$C$3:$C$501,"=51",'Plan rashoda za unos u SAP'!$N$3:$N$501,"=32")</f>
        <v>0</v>
      </c>
      <c r="J94" s="141">
        <f>SUMIFS('Plan rashoda za unos u SAP'!$K$3:$K$501,'Plan rashoda za unos u SAP'!$C$3:$C$501,"=52",'Plan rashoda za unos u SAP'!$N$3:$N$501,"=32")</f>
        <v>0</v>
      </c>
      <c r="K94" s="141">
        <f>SUMIFS('Plan rashoda za unos u SAP'!$K$3:$K$501,'Plan rashoda za unos u SAP'!$C$3:$C$501,"=552",'Plan rashoda za unos u SAP'!$N$3:$N$501,"=32")</f>
        <v>0</v>
      </c>
      <c r="L94" s="141">
        <f>SUMIFS('Plan rashoda za unos u SAP'!$K$3:$K$501,'Plan rashoda za unos u SAP'!$C$3:$C$501,"=559",'Plan rashoda za unos u SAP'!$N$3:$N$501,"=32")</f>
        <v>0</v>
      </c>
      <c r="M94" s="141">
        <f>SUMIFS('Plan rashoda za unos u SAP'!$K$3:$K$501,'Plan rashoda za unos u SAP'!$C$3:$C$501,"=561",'Plan rashoda za unos u SAP'!$N$3:$N$501,"=32")</f>
        <v>28544932</v>
      </c>
      <c r="N94" s="141">
        <f>SUMIFS('Plan rashoda za unos u SAP'!$K$3:$K$501,'Plan rashoda za unos u SAP'!$C$3:$C$501,"=563",'Plan rashoda za unos u SAP'!$N$3:$N$501,"=32")</f>
        <v>0</v>
      </c>
      <c r="O94" s="141">
        <f>SUMIFS('Plan rashoda za unos u SAP'!$K$3:$K$501,'Plan rashoda za unos u SAP'!$C$3:$C$501,"=573",'Plan rashoda za unos u SAP'!$N$3:$N$501,"=32")</f>
        <v>0</v>
      </c>
      <c r="P94" s="141">
        <f>SUMIFS('Plan rashoda za unos u SAP'!$K$3:$K$501,'Plan rashoda za unos u SAP'!$C$3:$C$501,"=575",'Plan rashoda za unos u SAP'!$N$3:$N$501,"=32")</f>
        <v>0</v>
      </c>
      <c r="Q94" s="141">
        <f>SUMIFS('Plan rashoda za unos u SAP'!$K$3:$K$501,'Plan rashoda za unos u SAP'!$C$3:$C$501,"=61",'Plan rashoda za unos u SAP'!$N$3:$N$501,"=32")</f>
        <v>0</v>
      </c>
      <c r="R94" s="141">
        <f>SUMIFS('Plan rashoda za unos u SAP'!$K$3:$K$501,'Plan rashoda za unos u SAP'!$C$3:$C$501,"=63",'Plan rashoda za unos u SAP'!$N$3:$N$501,"=32")</f>
        <v>0</v>
      </c>
      <c r="S94" s="141">
        <f>SUMIFS('Plan rashoda za unos u SAP'!$K$3:$K$501,'Plan rashoda za unos u SAP'!$C$3:$C$501,"=71",'Plan rashoda za unos u SAP'!$N$3:$N$501,"=32")</f>
        <v>0</v>
      </c>
      <c r="T94" s="141">
        <f>SUMIFS('Plan rashoda za unos u SAP'!$K$3:$K$501,'Plan rashoda za unos u SAP'!$C$3:$C$501,"=81",'Plan rashoda za unos u SAP'!$N$3:$N$501,"=32")</f>
        <v>0</v>
      </c>
      <c r="U94" s="141">
        <f>SUMIFS('Plan rashoda za unos u SAP'!$K$3:$K$501,'Plan rashoda za unos u SAP'!$C$3:$C$501,"=83",'Plan rashoda za unos u SAP'!$N$3:$N$501,"=32")</f>
        <v>0</v>
      </c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  <c r="IW94" s="87"/>
      <c r="IX94" s="87"/>
      <c r="IY94" s="87"/>
      <c r="IZ94" s="87"/>
      <c r="JA94" s="87"/>
    </row>
    <row r="95" spans="1:261" s="17" customFormat="1" ht="12.6" customHeight="1">
      <c r="A95" s="85">
        <v>34</v>
      </c>
      <c r="B95" s="16" t="s">
        <v>223</v>
      </c>
      <c r="C95" s="134">
        <f t="shared" si="98"/>
        <v>344000</v>
      </c>
      <c r="D95" s="141">
        <f>SUMIFS('Plan rashoda za unos u SAP'!$K$3:$K$501,'Plan rashoda za unos u SAP'!$C$3:$C$501,"=11",'Plan rashoda za unos u SAP'!$N$3:$N$501,"=34")</f>
        <v>289000</v>
      </c>
      <c r="E95" s="141">
        <f>SUMIFS('Plan rashoda za unos u SAP'!$K$3:$K$501,'Plan rashoda za unos u SAP'!$C$3:$C$501,"=12",'Plan rashoda za unos u SAP'!$N$3:$N$501,"=34")</f>
        <v>0</v>
      </c>
      <c r="F95" s="141">
        <f>SUMIFS('Plan rashoda za unos u SAP'!$K$3:$K$501,'Plan rashoda za unos u SAP'!$C$3:$C$501,"=31",'Plan rashoda za unos u SAP'!$N$3:$N$501,"=34")</f>
        <v>55000</v>
      </c>
      <c r="G95" s="141">
        <f>SUMIFS('Plan rashoda za unos u SAP'!$K$3:$K$501,'Plan rashoda za unos u SAP'!$C$3:$C$501,"=41",'Plan rashoda za unos u SAP'!$N$3:$N$501,"=34")</f>
        <v>0</v>
      </c>
      <c r="H95" s="141">
        <f>SUMIFS('Plan rashoda za unos u SAP'!$K$3:$K$501,'Plan rashoda za unos u SAP'!$C$3:$C$501,"=43",'Plan rashoda za unos u SAP'!$N$3:$N$501,"=34")</f>
        <v>0</v>
      </c>
      <c r="I95" s="141">
        <f>SUMIFS('Plan rashoda za unos u SAP'!$K$3:$K$501,'Plan rashoda za unos u SAP'!$C$3:$C$501,"=51",'Plan rashoda za unos u SAP'!$N$3:$N$501,"=34")</f>
        <v>0</v>
      </c>
      <c r="J95" s="141">
        <f>SUMIFS('Plan rashoda za unos u SAP'!$K$3:$K$501,'Plan rashoda za unos u SAP'!$C$3:$C$501,"=52",'Plan rashoda za unos u SAP'!$N$3:$N$501,"=34")</f>
        <v>0</v>
      </c>
      <c r="K95" s="141">
        <f>SUMIFS('Plan rashoda za unos u SAP'!$K$3:$K$501,'Plan rashoda za unos u SAP'!$C$3:$C$501,"=552",'Plan rashoda za unos u SAP'!$N$3:$N$501,"=34")</f>
        <v>0</v>
      </c>
      <c r="L95" s="141">
        <f>SUMIFS('Plan rashoda za unos u SAP'!$K$3:$K$501,'Plan rashoda za unos u SAP'!$C$3:$C$501,"=559",'Plan rashoda za unos u SAP'!$N$3:$N$501,"=34")</f>
        <v>0</v>
      </c>
      <c r="M95" s="141">
        <f>SUMIFS('Plan rashoda za unos u SAP'!$K$3:$K$501,'Plan rashoda za unos u SAP'!$C$3:$C$501,"=561",'Plan rashoda za unos u SAP'!$N$3:$N$501,"=34")</f>
        <v>0</v>
      </c>
      <c r="N95" s="141">
        <f>SUMIFS('Plan rashoda za unos u SAP'!$K$3:$K$501,'Plan rashoda za unos u SAP'!$C$3:$C$501,"=563",'Plan rashoda za unos u SAP'!$N$3:$N$501,"=34")</f>
        <v>0</v>
      </c>
      <c r="O95" s="141">
        <f>SUMIFS('Plan rashoda za unos u SAP'!$K$3:$K$501,'Plan rashoda za unos u SAP'!$C$3:$C$501,"=573",'Plan rashoda za unos u SAP'!$N$3:$N$501,"=34")</f>
        <v>0</v>
      </c>
      <c r="P95" s="141">
        <f>SUMIFS('Plan rashoda za unos u SAP'!$K$3:$K$501,'Plan rashoda za unos u SAP'!$C$3:$C$501,"=575",'Plan rashoda za unos u SAP'!$N$3:$N$501,"=34")</f>
        <v>0</v>
      </c>
      <c r="Q95" s="141">
        <f>SUMIFS('Plan rashoda za unos u SAP'!$K$3:$K$501,'Plan rashoda za unos u SAP'!$C$3:$C$501,"=61",'Plan rashoda za unos u SAP'!$N$3:$N$501,"=34")</f>
        <v>0</v>
      </c>
      <c r="R95" s="141">
        <f>SUMIFS('Plan rashoda za unos u SAP'!$K$3:$K$501,'Plan rashoda za unos u SAP'!$C$3:$C$501,"=63",'Plan rashoda za unos u SAP'!$N$3:$N$501,"=34")</f>
        <v>0</v>
      </c>
      <c r="S95" s="141">
        <f>SUMIFS('Plan rashoda za unos u SAP'!$K$3:$K$501,'Plan rashoda za unos u SAP'!$C$3:$C$501,"=71",'Plan rashoda za unos u SAP'!$N$3:$N$501,"=34")</f>
        <v>0</v>
      </c>
      <c r="T95" s="141">
        <f>SUMIFS('Plan rashoda za unos u SAP'!$K$3:$K$501,'Plan rashoda za unos u SAP'!$C$3:$C$501,"=81",'Plan rashoda za unos u SAP'!$N$3:$N$501,"=34")</f>
        <v>0</v>
      </c>
      <c r="U95" s="141">
        <f>SUMIFS('Plan rashoda za unos u SAP'!$K$3:$K$501,'Plan rashoda za unos u SAP'!$C$3:$C$501,"=83",'Plan rashoda za unos u SAP'!$N$3:$N$501,"=34")</f>
        <v>0</v>
      </c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  <c r="IW95" s="87"/>
      <c r="IX95" s="87"/>
      <c r="IY95" s="87"/>
      <c r="IZ95" s="87"/>
      <c r="JA95" s="87"/>
    </row>
    <row r="96" spans="1:261" s="86" customFormat="1" ht="12.6" customHeight="1">
      <c r="A96" s="85">
        <v>35</v>
      </c>
      <c r="B96" s="16" t="s">
        <v>350</v>
      </c>
      <c r="C96" s="134">
        <f t="shared" si="98"/>
        <v>0</v>
      </c>
      <c r="D96" s="141">
        <f>SUMIFS('Plan rashoda za unos u SAP'!$K$3:$K$501,'Plan rashoda za unos u SAP'!$C$3:$C$501,"=11",'Plan rashoda za unos u SAP'!$N$3:$N$501,"=35")</f>
        <v>0</v>
      </c>
      <c r="E96" s="141">
        <f>SUMIFS('Plan rashoda za unos u SAP'!$K$3:$K$501,'Plan rashoda za unos u SAP'!$C$3:$C$501,"=12",'Plan rashoda za unos u SAP'!$N$3:$N$501,"=35")</f>
        <v>0</v>
      </c>
      <c r="F96" s="141">
        <f>SUMIFS('Plan rashoda za unos u SAP'!$K$3:$K$501,'Plan rashoda za unos u SAP'!$C$3:$C$501,"=31",'Plan rashoda za unos u SAP'!$N$3:$N$501,"=35")</f>
        <v>0</v>
      </c>
      <c r="G96" s="141">
        <f>SUMIFS('Plan rashoda za unos u SAP'!$K$3:$K$501,'Plan rashoda za unos u SAP'!$C$3:$C$501,"=41",'Plan rashoda za unos u SAP'!$N$3:$N$501,"=35")</f>
        <v>0</v>
      </c>
      <c r="H96" s="141">
        <f>SUMIFS('Plan rashoda za unos u SAP'!$K$3:$K$501,'Plan rashoda za unos u SAP'!$C$3:$C$501,"=43",'Plan rashoda za unos u SAP'!$N$3:$N$501,"=35")</f>
        <v>0</v>
      </c>
      <c r="I96" s="141">
        <f>SUMIFS('Plan rashoda za unos u SAP'!$K$3:$K$501,'Plan rashoda za unos u SAP'!$C$3:$C$501,"=51",'Plan rashoda za unos u SAP'!$N$3:$N$501,"=35")</f>
        <v>0</v>
      </c>
      <c r="J96" s="141">
        <f>SUMIFS('Plan rashoda za unos u SAP'!$K$3:$K$501,'Plan rashoda za unos u SAP'!$C$3:$C$501,"=52",'Plan rashoda za unos u SAP'!$N$3:$N$501,"=35")</f>
        <v>0</v>
      </c>
      <c r="K96" s="141">
        <f>SUMIFS('Plan rashoda za unos u SAP'!$K$3:$K$501,'Plan rashoda za unos u SAP'!$C$3:$C$501,"=552",'Plan rashoda za unos u SAP'!$N$3:$N$501,"=35")</f>
        <v>0</v>
      </c>
      <c r="L96" s="141">
        <f>SUMIFS('Plan rashoda za unos u SAP'!$K$3:$K$501,'Plan rashoda za unos u SAP'!$C$3:$C$501,"=559",'Plan rashoda za unos u SAP'!$N$3:$N$501,"=35")</f>
        <v>0</v>
      </c>
      <c r="M96" s="141">
        <f>SUMIFS('Plan rashoda za unos u SAP'!$K$3:$K$501,'Plan rashoda za unos u SAP'!$C$3:$C$501,"=561",'Plan rashoda za unos u SAP'!$N$3:$N$501,"=35")</f>
        <v>0</v>
      </c>
      <c r="N96" s="141">
        <f>SUMIFS('Plan rashoda za unos u SAP'!$K$3:$K$501,'Plan rashoda za unos u SAP'!$C$3:$C$501,"=563",'Plan rashoda za unos u SAP'!$N$3:$N$501,"=35")</f>
        <v>0</v>
      </c>
      <c r="O96" s="141">
        <f>SUMIFS('Plan rashoda za unos u SAP'!$K$3:$K$501,'Plan rashoda za unos u SAP'!$C$3:$C$501,"=573",'Plan rashoda za unos u SAP'!$N$3:$N$501,"=35")</f>
        <v>0</v>
      </c>
      <c r="P96" s="141">
        <f>SUMIFS('Plan rashoda za unos u SAP'!$K$3:$K$501,'Plan rashoda za unos u SAP'!$C$3:$C$501,"=575",'Plan rashoda za unos u SAP'!$N$3:$N$501,"=35")</f>
        <v>0</v>
      </c>
      <c r="Q96" s="141">
        <f>SUMIFS('Plan rashoda za unos u SAP'!$K$3:$K$501,'Plan rashoda za unos u SAP'!$C$3:$C$501,"=61",'Plan rashoda za unos u SAP'!$N$3:$N$501,"=35")</f>
        <v>0</v>
      </c>
      <c r="R96" s="141">
        <f>SUMIFS('Plan rashoda za unos u SAP'!$K$3:$K$501,'Plan rashoda za unos u SAP'!$C$3:$C$501,"=63",'Plan rashoda za unos u SAP'!$N$3:$N$501,"=35")</f>
        <v>0</v>
      </c>
      <c r="S96" s="141">
        <f>SUMIFS('Plan rashoda za unos u SAP'!$K$3:$K$501,'Plan rashoda za unos u SAP'!$C$3:$C$501,"=71",'Plan rashoda za unos u SAP'!$N$3:$N$501,"=35")</f>
        <v>0</v>
      </c>
      <c r="T96" s="141">
        <f>SUMIFS('Plan rashoda za unos u SAP'!$K$3:$K$501,'Plan rashoda za unos u SAP'!$C$3:$C$501,"=81",'Plan rashoda za unos u SAP'!$N$3:$N$501,"=35")</f>
        <v>0</v>
      </c>
      <c r="U96" s="141">
        <f>SUMIFS('Plan rashoda za unos u SAP'!$K$3:$K$501,'Plan rashoda za unos u SAP'!$C$3:$C$501,"=83",'Plan rashoda za unos u SAP'!$N$3:$N$501,"=35")</f>
        <v>0</v>
      </c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  <c r="IW96" s="87"/>
      <c r="IX96" s="87"/>
      <c r="IY96" s="87"/>
      <c r="IZ96" s="87"/>
      <c r="JA96" s="87"/>
    </row>
    <row r="97" spans="1:261" s="86" customFormat="1" ht="12.6" customHeight="1">
      <c r="A97" s="85">
        <v>36</v>
      </c>
      <c r="B97" s="19" t="s">
        <v>225</v>
      </c>
      <c r="C97" s="134">
        <f t="shared" si="98"/>
        <v>0</v>
      </c>
      <c r="D97" s="141">
        <f>SUMIFS('Plan rashoda za unos u SAP'!$K$3:$K$501,'Plan rashoda za unos u SAP'!$C$3:$C$501,"=11",'Plan rashoda za unos u SAP'!$N$3:$N$501,"=36")</f>
        <v>0</v>
      </c>
      <c r="E97" s="141">
        <f>SUMIFS('Plan rashoda za unos u SAP'!$K$3:$K$501,'Plan rashoda za unos u SAP'!$C$3:$C$501,"=12",'Plan rashoda za unos u SAP'!$N$3:$N$501,"=36")</f>
        <v>0</v>
      </c>
      <c r="F97" s="141">
        <f>SUMIFS('Plan rashoda za unos u SAP'!$K$3:$K$501,'Plan rashoda za unos u SAP'!$C$3:$C$501,"=31",'Plan rashoda za unos u SAP'!$N$3:$N$501,"=36")</f>
        <v>0</v>
      </c>
      <c r="G97" s="141">
        <f>SUMIFS('Plan rashoda za unos u SAP'!$K$3:$K$501,'Plan rashoda za unos u SAP'!$C$3:$C$501,"=41",'Plan rashoda za unos u SAP'!$N$3:$N$501,"=36")</f>
        <v>0</v>
      </c>
      <c r="H97" s="141">
        <f>SUMIFS('Plan rashoda za unos u SAP'!$K$3:$K$501,'Plan rashoda za unos u SAP'!$C$3:$C$501,"=43",'Plan rashoda za unos u SAP'!$N$3:$N$501,"=36")</f>
        <v>0</v>
      </c>
      <c r="I97" s="141">
        <f>SUMIFS('Plan rashoda za unos u SAP'!$K$3:$K$501,'Plan rashoda za unos u SAP'!$C$3:$C$501,"=51",'Plan rashoda za unos u SAP'!$N$3:$N$501,"=36")</f>
        <v>0</v>
      </c>
      <c r="J97" s="141">
        <f>SUMIFS('Plan rashoda za unos u SAP'!$K$3:$K$501,'Plan rashoda za unos u SAP'!$C$3:$C$501,"=52",'Plan rashoda za unos u SAP'!$N$3:$N$501,"=36")</f>
        <v>0</v>
      </c>
      <c r="K97" s="141">
        <f>SUMIFS('Plan rashoda za unos u SAP'!$K$3:$K$501,'Plan rashoda za unos u SAP'!$C$3:$C$501,"=552",'Plan rashoda za unos u SAP'!$N$3:$N$501,"=36")</f>
        <v>0</v>
      </c>
      <c r="L97" s="141">
        <f>SUMIFS('Plan rashoda za unos u SAP'!$K$3:$K$501,'Plan rashoda za unos u SAP'!$C$3:$C$501,"=559",'Plan rashoda za unos u SAP'!$N$3:$N$501,"=36")</f>
        <v>0</v>
      </c>
      <c r="M97" s="141">
        <f>SUMIFS('Plan rashoda za unos u SAP'!$K$3:$K$501,'Plan rashoda za unos u SAP'!$C$3:$C$501,"=561",'Plan rashoda za unos u SAP'!$N$3:$N$501,"=36")</f>
        <v>0</v>
      </c>
      <c r="N97" s="141">
        <f>SUMIFS('Plan rashoda za unos u SAP'!$K$3:$K$501,'Plan rashoda za unos u SAP'!$C$3:$C$501,"=563",'Plan rashoda za unos u SAP'!$N$3:$N$501,"=36")</f>
        <v>0</v>
      </c>
      <c r="O97" s="141">
        <f>SUMIFS('Plan rashoda za unos u SAP'!$K$3:$K$501,'Plan rashoda za unos u SAP'!$C$3:$C$501,"=573",'Plan rashoda za unos u SAP'!$N$3:$N$501,"=36")</f>
        <v>0</v>
      </c>
      <c r="P97" s="141">
        <f>SUMIFS('Plan rashoda za unos u SAP'!$K$3:$K$501,'Plan rashoda za unos u SAP'!$C$3:$C$501,"=575",'Plan rashoda za unos u SAP'!$N$3:$N$501,"=36")</f>
        <v>0</v>
      </c>
      <c r="Q97" s="141">
        <f>SUMIFS('Plan rashoda za unos u SAP'!$K$3:$K$501,'Plan rashoda za unos u SAP'!$C$3:$C$501,"=61",'Plan rashoda za unos u SAP'!$N$3:$N$501,"=36")</f>
        <v>0</v>
      </c>
      <c r="R97" s="141">
        <f>SUMIFS('Plan rashoda za unos u SAP'!$K$3:$K$501,'Plan rashoda za unos u SAP'!$C$3:$C$501,"=63",'Plan rashoda za unos u SAP'!$N$3:$N$501,"=36")</f>
        <v>0</v>
      </c>
      <c r="S97" s="141">
        <f>SUMIFS('Plan rashoda za unos u SAP'!$K$3:$K$501,'Plan rashoda za unos u SAP'!$C$3:$C$501,"=71",'Plan rashoda za unos u SAP'!$N$3:$N$501,"=36")</f>
        <v>0</v>
      </c>
      <c r="T97" s="141">
        <f>SUMIFS('Plan rashoda za unos u SAP'!$K$3:$K$501,'Plan rashoda za unos u SAP'!$C$3:$C$501,"=81",'Plan rashoda za unos u SAP'!$N$3:$N$501,"=36")</f>
        <v>0</v>
      </c>
      <c r="U97" s="141">
        <f>SUMIFS('Plan rashoda za unos u SAP'!$K$3:$K$501,'Plan rashoda za unos u SAP'!$C$3:$C$501,"=83",'Plan rashoda za unos u SAP'!$N$3:$N$501,"=36")</f>
        <v>0</v>
      </c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  <c r="IW97" s="87"/>
      <c r="IX97" s="87"/>
      <c r="IY97" s="87"/>
      <c r="IZ97" s="87"/>
      <c r="JA97" s="87"/>
    </row>
    <row r="98" spans="1:261" s="21" customFormat="1" ht="12.6" customHeight="1">
      <c r="A98" s="85">
        <v>37</v>
      </c>
      <c r="B98" s="16" t="s">
        <v>357</v>
      </c>
      <c r="C98" s="134">
        <f t="shared" si="98"/>
        <v>102000</v>
      </c>
      <c r="D98" s="141">
        <f>SUMIFS('Plan rashoda za unos u SAP'!$K$3:$K$501,'Plan rashoda za unos u SAP'!$C$3:$C$501,"=11",'Plan rashoda za unos u SAP'!$N$3:$N$501,"=37")</f>
        <v>82000</v>
      </c>
      <c r="E98" s="141">
        <f>SUMIFS('Plan rashoda za unos u SAP'!$K$3:$K$501,'Plan rashoda za unos u SAP'!$C$3:$C$501,"=12",'Plan rashoda za unos u SAP'!$N$3:$N$501,"=37")</f>
        <v>0</v>
      </c>
      <c r="F98" s="141">
        <f>SUMIFS('Plan rashoda za unos u SAP'!$K$3:$K$501,'Plan rashoda za unos u SAP'!$C$3:$C$501,"=31",'Plan rashoda za unos u SAP'!$N$3:$N$501,"=37")</f>
        <v>0</v>
      </c>
      <c r="G98" s="141">
        <f>SUMIFS('Plan rashoda za unos u SAP'!$K$3:$K$501,'Plan rashoda za unos u SAP'!$C$3:$C$501,"=41",'Plan rashoda za unos u SAP'!$N$3:$N$501,"=37")</f>
        <v>0</v>
      </c>
      <c r="H98" s="141">
        <f>SUMIFS('Plan rashoda za unos u SAP'!$K$3:$K$501,'Plan rashoda za unos u SAP'!$C$3:$C$501,"=43",'Plan rashoda za unos u SAP'!$N$3:$N$501,"=37")</f>
        <v>20000</v>
      </c>
      <c r="I98" s="141">
        <f>SUMIFS('Plan rashoda za unos u SAP'!$K$3:$K$501,'Plan rashoda za unos u SAP'!$C$3:$C$501,"=51",'Plan rashoda za unos u SAP'!$N$3:$N$501,"=37")</f>
        <v>0</v>
      </c>
      <c r="J98" s="141">
        <f>SUMIFS('Plan rashoda za unos u SAP'!$K$3:$K$501,'Plan rashoda za unos u SAP'!$C$3:$C$501,"=52",'Plan rashoda za unos u SAP'!$N$3:$N$501,"=37")</f>
        <v>0</v>
      </c>
      <c r="K98" s="141">
        <f>SUMIFS('Plan rashoda za unos u SAP'!$K$3:$K$501,'Plan rashoda za unos u SAP'!$C$3:$C$501,"=552",'Plan rashoda za unos u SAP'!$N$3:$N$501,"=37")</f>
        <v>0</v>
      </c>
      <c r="L98" s="141">
        <f>SUMIFS('Plan rashoda za unos u SAP'!$K$3:$K$501,'Plan rashoda za unos u SAP'!$C$3:$C$501,"=559",'Plan rashoda za unos u SAP'!$N$3:$N$501,"=37")</f>
        <v>0</v>
      </c>
      <c r="M98" s="141">
        <f>SUMIFS('Plan rashoda za unos u SAP'!$K$3:$K$501,'Plan rashoda za unos u SAP'!$C$3:$C$501,"=561",'Plan rashoda za unos u SAP'!$N$3:$N$501,"=37")</f>
        <v>0</v>
      </c>
      <c r="N98" s="141">
        <f>SUMIFS('Plan rashoda za unos u SAP'!$K$3:$K$501,'Plan rashoda za unos u SAP'!$C$3:$C$501,"=563",'Plan rashoda za unos u SAP'!$N$3:$N$501,"=37")</f>
        <v>0</v>
      </c>
      <c r="O98" s="141">
        <f>SUMIFS('Plan rashoda za unos u SAP'!$K$3:$K$501,'Plan rashoda za unos u SAP'!$C$3:$C$501,"=573",'Plan rashoda za unos u SAP'!$N$3:$N$501,"=37")</f>
        <v>0</v>
      </c>
      <c r="P98" s="141">
        <f>SUMIFS('Plan rashoda za unos u SAP'!$K$3:$K$501,'Plan rashoda za unos u SAP'!$C$3:$C$501,"=575",'Plan rashoda za unos u SAP'!$N$3:$N$501,"=37")</f>
        <v>0</v>
      </c>
      <c r="Q98" s="141">
        <f>SUMIFS('Plan rashoda za unos u SAP'!$K$3:$K$501,'Plan rashoda za unos u SAP'!$C$3:$C$501,"=61",'Plan rashoda za unos u SAP'!$N$3:$N$501,"=37")</f>
        <v>0</v>
      </c>
      <c r="R98" s="141">
        <f>SUMIFS('Plan rashoda za unos u SAP'!$K$3:$K$501,'Plan rashoda za unos u SAP'!$C$3:$C$501,"=63",'Plan rashoda za unos u SAP'!$N$3:$N$501,"=37")</f>
        <v>0</v>
      </c>
      <c r="S98" s="141">
        <f>SUMIFS('Plan rashoda za unos u SAP'!$K$3:$K$501,'Plan rashoda za unos u SAP'!$C$3:$C$501,"=71",'Plan rashoda za unos u SAP'!$N$3:$N$501,"=37")</f>
        <v>0</v>
      </c>
      <c r="T98" s="141">
        <f>SUMIFS('Plan rashoda za unos u SAP'!$K$3:$K$501,'Plan rashoda za unos u SAP'!$C$3:$C$501,"=81",'Plan rashoda za unos u SAP'!$N$3:$N$501,"=37")</f>
        <v>0</v>
      </c>
      <c r="U98" s="141">
        <f>SUMIFS('Plan rashoda za unos u SAP'!$K$3:$K$501,'Plan rashoda za unos u SAP'!$C$3:$C$501,"=83",'Plan rashoda za unos u SAP'!$N$3:$N$501,"=37")</f>
        <v>0</v>
      </c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6"/>
      <c r="GF98" s="86"/>
      <c r="GG98" s="86"/>
      <c r="GH98" s="86"/>
      <c r="GI98" s="86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  <c r="IW98" s="87"/>
      <c r="IX98" s="87"/>
      <c r="IY98" s="87"/>
      <c r="IZ98" s="87"/>
      <c r="JA98" s="87"/>
    </row>
    <row r="99" spans="1:261" s="21" customFormat="1" ht="12.6" customHeight="1">
      <c r="A99" s="85">
        <v>38</v>
      </c>
      <c r="B99" s="16" t="s">
        <v>227</v>
      </c>
      <c r="C99" s="134">
        <f t="shared" si="98"/>
        <v>45510</v>
      </c>
      <c r="D99" s="141">
        <f>SUMIFS('Plan rashoda za unos u SAP'!$K$3:$K$501,'Plan rashoda za unos u SAP'!$C$3:$C$501,"=11",'Plan rashoda za unos u SAP'!$N$3:$N$501,"=38")</f>
        <v>25510</v>
      </c>
      <c r="E99" s="141">
        <f>SUMIFS('Plan rashoda za unos u SAP'!$K$3:$K$501,'Plan rashoda za unos u SAP'!$C$3:$C$501,"=12",'Plan rashoda za unos u SAP'!$N$3:$N$501,"=38")</f>
        <v>0</v>
      </c>
      <c r="F99" s="141">
        <f>SUMIFS('Plan rashoda za unos u SAP'!$K$3:$K$501,'Plan rashoda za unos u SAP'!$C$3:$C$501,"=31",'Plan rashoda za unos u SAP'!$N$3:$N$501,"=38")</f>
        <v>20000</v>
      </c>
      <c r="G99" s="141">
        <f>SUMIFS('Plan rashoda za unos u SAP'!$K$3:$K$501,'Plan rashoda za unos u SAP'!$C$3:$C$501,"=41",'Plan rashoda za unos u SAP'!$N$3:$N$501,"=38")</f>
        <v>0</v>
      </c>
      <c r="H99" s="141">
        <f>SUMIFS('Plan rashoda za unos u SAP'!$K$3:$K$501,'Plan rashoda za unos u SAP'!$C$3:$C$501,"=43",'Plan rashoda za unos u SAP'!$N$3:$N$501,"=38")</f>
        <v>0</v>
      </c>
      <c r="I99" s="141">
        <f>SUMIFS('Plan rashoda za unos u SAP'!$K$3:$K$501,'Plan rashoda za unos u SAP'!$C$3:$C$501,"=51",'Plan rashoda za unos u SAP'!$N$3:$N$501,"=38")</f>
        <v>0</v>
      </c>
      <c r="J99" s="141">
        <f>SUMIFS('Plan rashoda za unos u SAP'!$K$3:$K$501,'Plan rashoda za unos u SAP'!$C$3:$C$501,"=52",'Plan rashoda za unos u SAP'!$N$3:$N$501,"=38")</f>
        <v>0</v>
      </c>
      <c r="K99" s="141">
        <f>SUMIFS('Plan rashoda za unos u SAP'!$K$3:$K$501,'Plan rashoda za unos u SAP'!$C$3:$C$501,"=552",'Plan rashoda za unos u SAP'!$N$3:$N$501,"=38")</f>
        <v>0</v>
      </c>
      <c r="L99" s="141">
        <f>SUMIFS('Plan rashoda za unos u SAP'!$K$3:$K$501,'Plan rashoda za unos u SAP'!$C$3:$C$501,"=559",'Plan rashoda za unos u SAP'!$N$3:$N$501,"=38")</f>
        <v>0</v>
      </c>
      <c r="M99" s="141">
        <f>SUMIFS('Plan rashoda za unos u SAP'!$K$3:$K$501,'Plan rashoda za unos u SAP'!$C$3:$C$501,"=561",'Plan rashoda za unos u SAP'!$N$3:$N$501,"=38")</f>
        <v>0</v>
      </c>
      <c r="N99" s="141">
        <f>SUMIFS('Plan rashoda za unos u SAP'!$K$3:$K$501,'Plan rashoda za unos u SAP'!$C$3:$C$501,"=563",'Plan rashoda za unos u SAP'!$N$3:$N$501,"=38")</f>
        <v>0</v>
      </c>
      <c r="O99" s="141">
        <f>SUMIFS('Plan rashoda za unos u SAP'!$K$3:$K$501,'Plan rashoda za unos u SAP'!$C$3:$C$501,"=573",'Plan rashoda za unos u SAP'!$N$3:$N$501,"=38")</f>
        <v>0</v>
      </c>
      <c r="P99" s="141">
        <f>SUMIFS('Plan rashoda za unos u SAP'!$K$3:$K$501,'Plan rashoda za unos u SAP'!$C$3:$C$501,"=575",'Plan rashoda za unos u SAP'!$N$3:$N$501,"=38")</f>
        <v>0</v>
      </c>
      <c r="Q99" s="141">
        <f>SUMIFS('Plan rashoda za unos u SAP'!$K$3:$K$501,'Plan rashoda za unos u SAP'!$C$3:$C$501,"=61",'Plan rashoda za unos u SAP'!$N$3:$N$501,"=38")</f>
        <v>0</v>
      </c>
      <c r="R99" s="141">
        <f>SUMIFS('Plan rashoda za unos u SAP'!$K$3:$K$501,'Plan rashoda za unos u SAP'!$C$3:$C$501,"=63",'Plan rashoda za unos u SAP'!$N$3:$N$501,"=38")</f>
        <v>0</v>
      </c>
      <c r="S99" s="141">
        <f>SUMIFS('Plan rashoda za unos u SAP'!$K$3:$K$501,'Plan rashoda za unos u SAP'!$C$3:$C$501,"=71",'Plan rashoda za unos u SAP'!$N$3:$N$501,"=38")</f>
        <v>0</v>
      </c>
      <c r="T99" s="141">
        <f>SUMIFS('Plan rashoda za unos u SAP'!$K$3:$K$501,'Plan rashoda za unos u SAP'!$C$3:$C$501,"=81",'Plan rashoda za unos u SAP'!$N$3:$N$501,"=38")</f>
        <v>0</v>
      </c>
      <c r="U99" s="141">
        <f>SUMIFS('Plan rashoda za unos u SAP'!$K$3:$K$501,'Plan rashoda za unos u SAP'!$C$3:$C$501,"=83",'Plan rashoda za unos u SAP'!$N$3:$N$501,"=38")</f>
        <v>0</v>
      </c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6"/>
      <c r="GF99" s="86"/>
      <c r="GG99" s="86"/>
      <c r="GH99" s="86"/>
      <c r="GI99" s="86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  <c r="IW99" s="87"/>
      <c r="IX99" s="87"/>
      <c r="IY99" s="87"/>
      <c r="IZ99" s="87"/>
      <c r="JA99" s="87"/>
    </row>
    <row r="100" spans="1:261" s="22" customFormat="1" ht="12.6" customHeight="1">
      <c r="A100" s="128">
        <v>4</v>
      </c>
      <c r="B100" s="129" t="s">
        <v>229</v>
      </c>
      <c r="C100" s="127">
        <f t="shared" si="98"/>
        <v>6074163</v>
      </c>
      <c r="D100" s="132">
        <f t="shared" ref="D100:U100" si="103">SUM(D101:D105)</f>
        <v>218163</v>
      </c>
      <c r="E100" s="132">
        <f t="shared" si="103"/>
        <v>0</v>
      </c>
      <c r="F100" s="132">
        <f t="shared" si="103"/>
        <v>605000</v>
      </c>
      <c r="G100" s="132">
        <f t="shared" ref="G100" si="104">SUM(G101:G105)</f>
        <v>0</v>
      </c>
      <c r="H100" s="132">
        <f t="shared" si="103"/>
        <v>250000</v>
      </c>
      <c r="I100" s="132">
        <f t="shared" si="103"/>
        <v>0</v>
      </c>
      <c r="J100" s="132">
        <f t="shared" si="103"/>
        <v>0</v>
      </c>
      <c r="K100" s="132">
        <f t="shared" ref="K100" si="105">SUM(K101:K105)</f>
        <v>0</v>
      </c>
      <c r="L100" s="132">
        <f t="shared" si="103"/>
        <v>0</v>
      </c>
      <c r="M100" s="132">
        <f t="shared" si="103"/>
        <v>0</v>
      </c>
      <c r="N100" s="132">
        <f t="shared" si="103"/>
        <v>0</v>
      </c>
      <c r="O100" s="132">
        <f t="shared" ref="O100:P100" si="106">SUM(O101:O105)</f>
        <v>0</v>
      </c>
      <c r="P100" s="132">
        <f t="shared" si="106"/>
        <v>0</v>
      </c>
      <c r="Q100" s="132">
        <f t="shared" si="103"/>
        <v>5000000</v>
      </c>
      <c r="R100" s="132">
        <f t="shared" si="103"/>
        <v>0</v>
      </c>
      <c r="S100" s="132">
        <f t="shared" si="103"/>
        <v>1000</v>
      </c>
      <c r="T100" s="132">
        <f t="shared" si="103"/>
        <v>0</v>
      </c>
      <c r="U100" s="132">
        <f t="shared" si="103"/>
        <v>0</v>
      </c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3"/>
      <c r="GF100" s="73"/>
      <c r="GG100" s="73"/>
      <c r="GH100" s="73"/>
      <c r="GI100" s="73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  <c r="IW100" s="74"/>
      <c r="IX100" s="74"/>
      <c r="IY100" s="74"/>
      <c r="IZ100" s="74"/>
      <c r="JA100" s="74"/>
    </row>
    <row r="101" spans="1:261" s="14" customFormat="1" ht="12.6" customHeight="1">
      <c r="A101" s="11">
        <v>41</v>
      </c>
      <c r="B101" s="12" t="s">
        <v>362</v>
      </c>
      <c r="C101" s="134">
        <f t="shared" si="98"/>
        <v>150000</v>
      </c>
      <c r="D101" s="141">
        <f>SUMIFS('Plan rashoda za unos u SAP'!$K$3:$K$501,'Plan rashoda za unos u SAP'!$C$3:$C$501,"=11",'Plan rashoda za unos u SAP'!$N$3:$N$501,"=41")</f>
        <v>0</v>
      </c>
      <c r="E101" s="141">
        <f>SUMIFS('Plan rashoda za unos u SAP'!$K$3:$K$501,'Plan rashoda za unos u SAP'!$C$3:$C$501,"=12",'Plan rashoda za unos u SAP'!$N$3:$N$501,"=41")</f>
        <v>0</v>
      </c>
      <c r="F101" s="141">
        <f>SUMIFS('Plan rashoda za unos u SAP'!$K$3:$K$501,'Plan rashoda za unos u SAP'!$C$3:$C$501,"=31",'Plan rashoda za unos u SAP'!$N$3:$N$501,"=41")</f>
        <v>150000</v>
      </c>
      <c r="G101" s="141">
        <f>SUMIFS('Plan rashoda za unos u SAP'!$K$3:$K$501,'Plan rashoda za unos u SAP'!$C$3:$C$501,"=41",'Plan rashoda za unos u SAP'!$N$3:$N$501,"=41")</f>
        <v>0</v>
      </c>
      <c r="H101" s="141">
        <f>SUMIFS('Plan rashoda za unos u SAP'!$K$3:$K$501,'Plan rashoda za unos u SAP'!$C$3:$C$501,"=43",'Plan rashoda za unos u SAP'!$N$3:$N$501,"=41")</f>
        <v>0</v>
      </c>
      <c r="I101" s="141">
        <f>SUMIFS('Plan rashoda za unos u SAP'!$K$3:$K$501,'Plan rashoda za unos u SAP'!$C$3:$C$501,"=51",'Plan rashoda za unos u SAP'!$N$3:$N$501,"=41")</f>
        <v>0</v>
      </c>
      <c r="J101" s="141">
        <f>SUMIFS('Plan rashoda za unos u SAP'!$K$3:$K$501,'Plan rashoda za unos u SAP'!$C$3:$C$501,"=52",'Plan rashoda za unos u SAP'!$N$3:$N$501,"=41")</f>
        <v>0</v>
      </c>
      <c r="K101" s="141">
        <f>SUMIFS('Plan rashoda za unos u SAP'!$K$3:$K$501,'Plan rashoda za unos u SAP'!$C$3:$C$501,"=552",'Plan rashoda za unos u SAP'!$N$3:$N$501,"=41")</f>
        <v>0</v>
      </c>
      <c r="L101" s="141">
        <f>SUMIFS('Plan rashoda za unos u SAP'!$K$3:$K$501,'Plan rashoda za unos u SAP'!$C$3:$C$501,"=559",'Plan rashoda za unos u SAP'!$N$3:$N$501,"=41")</f>
        <v>0</v>
      </c>
      <c r="M101" s="141">
        <f>SUMIFS('Plan rashoda za unos u SAP'!$K$3:$K$501,'Plan rashoda za unos u SAP'!$C$3:$C$501,"=561",'Plan rashoda za unos u SAP'!$N$3:$N$501,"=41")</f>
        <v>0</v>
      </c>
      <c r="N101" s="141">
        <f>SUMIFS('Plan rashoda za unos u SAP'!$K$3:$K$501,'Plan rashoda za unos u SAP'!$C$3:$C$501,"=563",'Plan rashoda za unos u SAP'!$N$3:$N$501,"=41")</f>
        <v>0</v>
      </c>
      <c r="O101" s="141">
        <f>SUMIFS('Plan rashoda za unos u SAP'!$K$3:$K$501,'Plan rashoda za unos u SAP'!$C$3:$C$501,"=573",'Plan rashoda za unos u SAP'!$N$3:$N$501,"=41")</f>
        <v>0</v>
      </c>
      <c r="P101" s="141">
        <f>SUMIFS('Plan rashoda za unos u SAP'!$K$3:$K$501,'Plan rashoda za unos u SAP'!$C$3:$C$501,"=575",'Plan rashoda za unos u SAP'!$N$3:$N$501,"=41")</f>
        <v>0</v>
      </c>
      <c r="Q101" s="141">
        <f>SUMIFS('Plan rashoda za unos u SAP'!$K$3:$K$501,'Plan rashoda za unos u SAP'!$C$3:$C$501,"=61",'Plan rashoda za unos u SAP'!$N$3:$N$501,"=41")</f>
        <v>0</v>
      </c>
      <c r="R101" s="141">
        <f>SUMIFS('Plan rashoda za unos u SAP'!$K$3:$K$501,'Plan rashoda za unos u SAP'!$C$3:$C$501,"=63",'Plan rashoda za unos u SAP'!$N$3:$N$501,"=41")</f>
        <v>0</v>
      </c>
      <c r="S101" s="141">
        <f>SUMIFS('Plan rashoda za unos u SAP'!$K$3:$K$501,'Plan rashoda za unos u SAP'!$C$3:$C$501,"=71",'Plan rashoda za unos u SAP'!$N$3:$N$501,"=41")</f>
        <v>0</v>
      </c>
      <c r="T101" s="141">
        <f>SUMIFS('Plan rashoda za unos u SAP'!$K$3:$K$501,'Plan rashoda za unos u SAP'!$C$3:$C$501,"=81",'Plan rashoda za unos u SAP'!$N$3:$N$501,"=41")</f>
        <v>0</v>
      </c>
      <c r="U101" s="141">
        <f>SUMIFS('Plan rashoda za unos u SAP'!$K$3:$K$501,'Plan rashoda za unos u SAP'!$C$3:$C$501,"=83",'Plan rashoda za unos u SAP'!$N$3:$N$501,"=41")</f>
        <v>0</v>
      </c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6"/>
      <c r="GF101" s="86"/>
      <c r="GG101" s="86"/>
      <c r="GH101" s="86"/>
      <c r="GI101" s="86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  <c r="IW101" s="87"/>
      <c r="IX101" s="87"/>
      <c r="IY101" s="87"/>
      <c r="IZ101" s="87"/>
      <c r="JA101" s="87"/>
    </row>
    <row r="102" spans="1:261" s="21" customFormat="1" ht="12.6" customHeight="1">
      <c r="A102" s="85">
        <v>42</v>
      </c>
      <c r="B102" s="16" t="s">
        <v>283</v>
      </c>
      <c r="C102" s="134">
        <f t="shared" si="98"/>
        <v>5924163</v>
      </c>
      <c r="D102" s="141">
        <f>SUMIFS('Plan rashoda za unos u SAP'!$K$3:$K$501,'Plan rashoda za unos u SAP'!$C$3:$C$501,"=11",'Plan rashoda za unos u SAP'!$N$3:$N$501,"=42")</f>
        <v>218163</v>
      </c>
      <c r="E102" s="141">
        <f>SUMIFS('Plan rashoda za unos u SAP'!$K$3:$K$501,'Plan rashoda za unos u SAP'!$C$3:$C$501,"=12",'Plan rashoda za unos u SAP'!$N$3:$N$501,"=42")</f>
        <v>0</v>
      </c>
      <c r="F102" s="141">
        <f>SUMIFS('Plan rashoda za unos u SAP'!$K$3:$K$501,'Plan rashoda za unos u SAP'!$C$3:$C$501,"=31",'Plan rashoda za unos u SAP'!$N$3:$N$501,"=42")</f>
        <v>455000</v>
      </c>
      <c r="G102" s="141">
        <f>SUMIFS('Plan rashoda za unos u SAP'!$K$3:$K$501,'Plan rashoda za unos u SAP'!$C$3:$C$501,"=41",'Plan rashoda za unos u SAP'!$N$3:$N$501,"=42")</f>
        <v>0</v>
      </c>
      <c r="H102" s="141">
        <f>SUMIFS('Plan rashoda za unos u SAP'!$K$3:$K$501,'Plan rashoda za unos u SAP'!$C$3:$C$501,"=43",'Plan rashoda za unos u SAP'!$N$3:$N$501,"=42")</f>
        <v>250000</v>
      </c>
      <c r="I102" s="141">
        <f>SUMIFS('Plan rashoda za unos u SAP'!$K$3:$K$501,'Plan rashoda za unos u SAP'!$C$3:$C$501,"=51",'Plan rashoda za unos u SAP'!$N$3:$N$501,"=42")</f>
        <v>0</v>
      </c>
      <c r="J102" s="141">
        <f>SUMIFS('Plan rashoda za unos u SAP'!$K$3:$K$501,'Plan rashoda za unos u SAP'!$C$3:$C$501,"=52",'Plan rashoda za unos u SAP'!$N$3:$N$501,"=42")</f>
        <v>0</v>
      </c>
      <c r="K102" s="141">
        <f>SUMIFS('Plan rashoda za unos u SAP'!$K$3:$K$501,'Plan rashoda za unos u SAP'!$C$3:$C$501,"=552",'Plan rashoda za unos u SAP'!$N$3:$N$501,"=42")</f>
        <v>0</v>
      </c>
      <c r="L102" s="141">
        <f>SUMIFS('Plan rashoda za unos u SAP'!$K$3:$K$501,'Plan rashoda za unos u SAP'!$C$3:$C$501,"=559",'Plan rashoda za unos u SAP'!$N$3:$N$501,"=42")</f>
        <v>0</v>
      </c>
      <c r="M102" s="141">
        <f>SUMIFS('Plan rashoda za unos u SAP'!$K$3:$K$501,'Plan rashoda za unos u SAP'!$C$3:$C$501,"=561",'Plan rashoda za unos u SAP'!$N$3:$N$501,"=42")</f>
        <v>0</v>
      </c>
      <c r="N102" s="141">
        <f>SUMIFS('Plan rashoda za unos u SAP'!$K$3:$K$501,'Plan rashoda za unos u SAP'!$C$3:$C$501,"=563",'Plan rashoda za unos u SAP'!$N$3:$N$501,"=42")</f>
        <v>0</v>
      </c>
      <c r="O102" s="141">
        <f>SUMIFS('Plan rashoda za unos u SAP'!$K$3:$K$501,'Plan rashoda za unos u SAP'!$C$3:$C$501,"=573",'Plan rashoda za unos u SAP'!$N$3:$N$501,"=42")</f>
        <v>0</v>
      </c>
      <c r="P102" s="141">
        <f>SUMIFS('Plan rashoda za unos u SAP'!$K$3:$K$501,'Plan rashoda za unos u SAP'!$C$3:$C$501,"=575",'Plan rashoda za unos u SAP'!$N$3:$N$501,"=42")</f>
        <v>0</v>
      </c>
      <c r="Q102" s="141">
        <f>SUMIFS('Plan rashoda za unos u SAP'!$K$3:$K$501,'Plan rashoda za unos u SAP'!$C$3:$C$501,"=61",'Plan rashoda za unos u SAP'!$N$3:$N$501,"=42")</f>
        <v>5000000</v>
      </c>
      <c r="R102" s="141">
        <f>SUMIFS('Plan rashoda za unos u SAP'!$K$3:$K$501,'Plan rashoda za unos u SAP'!$C$3:$C$501,"=63",'Plan rashoda za unos u SAP'!$N$3:$N$501,"=42")</f>
        <v>0</v>
      </c>
      <c r="S102" s="141">
        <f>SUMIFS('Plan rashoda za unos u SAP'!$K$3:$K$501,'Plan rashoda za unos u SAP'!$C$3:$C$501,"=71",'Plan rashoda za unos u SAP'!$N$3:$N$501,"=42")</f>
        <v>1000</v>
      </c>
      <c r="T102" s="141">
        <f>SUMIFS('Plan rashoda za unos u SAP'!$K$3:$K$501,'Plan rashoda za unos u SAP'!$C$3:$C$501,"=81",'Plan rashoda za unos u SAP'!$N$3:$N$501,"=42")</f>
        <v>0</v>
      </c>
      <c r="U102" s="141">
        <f>SUMIFS('Plan rashoda za unos u SAP'!$K$3:$K$501,'Plan rashoda za unos u SAP'!$C$3:$C$501,"=83",'Plan rashoda za unos u SAP'!$N$3:$N$501,"=42")</f>
        <v>0</v>
      </c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6"/>
      <c r="GF102" s="86"/>
      <c r="GG102" s="86"/>
      <c r="GH102" s="86"/>
      <c r="GI102" s="86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  <c r="IW102" s="87"/>
      <c r="IX102" s="87"/>
      <c r="IY102" s="87"/>
      <c r="IZ102" s="87"/>
      <c r="JA102" s="87"/>
    </row>
    <row r="103" spans="1:261" s="14" customFormat="1" ht="12.6" customHeight="1">
      <c r="A103" s="11">
        <v>43</v>
      </c>
      <c r="B103" s="12" t="s">
        <v>366</v>
      </c>
      <c r="C103" s="134">
        <f t="shared" si="98"/>
        <v>0</v>
      </c>
      <c r="D103" s="141">
        <f>SUMIFS('Plan rashoda za unos u SAP'!$K$3:$K$501,'Plan rashoda za unos u SAP'!$C$3:$C$501,"=11",'Plan rashoda za unos u SAP'!$N$3:$N$501,"=43")</f>
        <v>0</v>
      </c>
      <c r="E103" s="141">
        <f>SUMIFS('Plan rashoda za unos u SAP'!$K$3:$K$501,'Plan rashoda za unos u SAP'!$C$3:$C$501,"=12",'Plan rashoda za unos u SAP'!$N$3:$N$501,"=43")</f>
        <v>0</v>
      </c>
      <c r="F103" s="141">
        <f>SUMIFS('Plan rashoda za unos u SAP'!$K$3:$K$501,'Plan rashoda za unos u SAP'!$C$3:$C$501,"=31",'Plan rashoda za unos u SAP'!$N$3:$N$501,"=43")</f>
        <v>0</v>
      </c>
      <c r="G103" s="141">
        <f>SUMIFS('Plan rashoda za unos u SAP'!$K$3:$K$501,'Plan rashoda za unos u SAP'!$C$3:$C$501,"=41",'Plan rashoda za unos u SAP'!$N$3:$N$501,"=43")</f>
        <v>0</v>
      </c>
      <c r="H103" s="141">
        <f>SUMIFS('Plan rashoda za unos u SAP'!$K$3:$K$501,'Plan rashoda za unos u SAP'!$C$3:$C$501,"=43",'Plan rashoda za unos u SAP'!$N$3:$N$501,"=43")</f>
        <v>0</v>
      </c>
      <c r="I103" s="141">
        <f>SUMIFS('Plan rashoda za unos u SAP'!$K$3:$K$501,'Plan rashoda za unos u SAP'!$C$3:$C$501,"=51",'Plan rashoda za unos u SAP'!$N$3:$N$501,"=43")</f>
        <v>0</v>
      </c>
      <c r="J103" s="141">
        <f>SUMIFS('Plan rashoda za unos u SAP'!$K$3:$K$501,'Plan rashoda za unos u SAP'!$C$3:$C$501,"=52",'Plan rashoda za unos u SAP'!$N$3:$N$501,"=43")</f>
        <v>0</v>
      </c>
      <c r="K103" s="141">
        <f>SUMIFS('Plan rashoda za unos u SAP'!$K$3:$K$501,'Plan rashoda za unos u SAP'!$C$3:$C$501,"=552",'Plan rashoda za unos u SAP'!$N$3:$N$501,"=43")</f>
        <v>0</v>
      </c>
      <c r="L103" s="141">
        <f>SUMIFS('Plan rashoda za unos u SAP'!$K$3:$K$501,'Plan rashoda za unos u SAP'!$C$3:$C$501,"=559",'Plan rashoda za unos u SAP'!$N$3:$N$501,"=43")</f>
        <v>0</v>
      </c>
      <c r="M103" s="141">
        <f>SUMIFS('Plan rashoda za unos u SAP'!$K$3:$K$501,'Plan rashoda za unos u SAP'!$C$3:$C$501,"=561",'Plan rashoda za unos u SAP'!$N$3:$N$501,"=43")</f>
        <v>0</v>
      </c>
      <c r="N103" s="141">
        <f>SUMIFS('Plan rashoda za unos u SAP'!$K$3:$K$501,'Plan rashoda za unos u SAP'!$C$3:$C$501,"=563",'Plan rashoda za unos u SAP'!$N$3:$N$501,"=43")</f>
        <v>0</v>
      </c>
      <c r="O103" s="141">
        <f>SUMIFS('Plan rashoda za unos u SAP'!$K$3:$K$501,'Plan rashoda za unos u SAP'!$C$3:$C$501,"=573",'Plan rashoda za unos u SAP'!$N$3:$N$501,"=43")</f>
        <v>0</v>
      </c>
      <c r="P103" s="141">
        <f>SUMIFS('Plan rashoda za unos u SAP'!$K$3:$K$501,'Plan rashoda za unos u SAP'!$C$3:$C$501,"=575",'Plan rashoda za unos u SAP'!$N$3:$N$501,"=43")</f>
        <v>0</v>
      </c>
      <c r="Q103" s="141">
        <f>SUMIFS('Plan rashoda za unos u SAP'!$K$3:$K$501,'Plan rashoda za unos u SAP'!$C$3:$C$501,"=61",'Plan rashoda za unos u SAP'!$N$3:$N$501,"=43")</f>
        <v>0</v>
      </c>
      <c r="R103" s="141">
        <f>SUMIFS('Plan rashoda za unos u SAP'!$K$3:$K$501,'Plan rashoda za unos u SAP'!$C$3:$C$501,"=63",'Plan rashoda za unos u SAP'!$N$3:$N$501,"=43")</f>
        <v>0</v>
      </c>
      <c r="S103" s="141">
        <f>SUMIFS('Plan rashoda za unos u SAP'!$K$3:$K$501,'Plan rashoda za unos u SAP'!$C$3:$C$501,"=71",'Plan rashoda za unos u SAP'!$N$3:$N$501,"=43")</f>
        <v>0</v>
      </c>
      <c r="T103" s="141">
        <f>SUMIFS('Plan rashoda za unos u SAP'!$K$3:$K$501,'Plan rashoda za unos u SAP'!$C$3:$C$501,"=81",'Plan rashoda za unos u SAP'!$N$3:$N$501,"=43")</f>
        <v>0</v>
      </c>
      <c r="U103" s="141">
        <f>SUMIFS('Plan rashoda za unos u SAP'!$K$3:$K$501,'Plan rashoda za unos u SAP'!$C$3:$C$501,"=83",'Plan rashoda za unos u SAP'!$N$3:$N$501,"=43")</f>
        <v>0</v>
      </c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0"/>
      <c r="GF103" s="80"/>
      <c r="GG103" s="80"/>
      <c r="GH103" s="80"/>
      <c r="GI103" s="80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  <c r="IW103" s="81"/>
      <c r="IX103" s="81"/>
      <c r="IY103" s="81"/>
      <c r="IZ103" s="81"/>
      <c r="JA103" s="81"/>
    </row>
    <row r="104" spans="1:261" s="14" customFormat="1" ht="12.6" customHeight="1">
      <c r="A104" s="11">
        <v>44</v>
      </c>
      <c r="B104" s="12" t="s">
        <v>367</v>
      </c>
      <c r="C104" s="134">
        <f t="shared" si="98"/>
        <v>0</v>
      </c>
      <c r="D104" s="141">
        <f>SUMIFS('Plan rashoda za unos u SAP'!$K$3:$K$501,'Plan rashoda za unos u SAP'!$C$3:$C$501,"=11",'Plan rashoda za unos u SAP'!$N$3:$N$501,"=44")</f>
        <v>0</v>
      </c>
      <c r="E104" s="141">
        <f>SUMIFS('Plan rashoda za unos u SAP'!$K$3:$K$501,'Plan rashoda za unos u SAP'!$C$3:$C$501,"=12",'Plan rashoda za unos u SAP'!$N$3:$N$501,"=44")</f>
        <v>0</v>
      </c>
      <c r="F104" s="141">
        <f>SUMIFS('Plan rashoda za unos u SAP'!$K$3:$K$501,'Plan rashoda za unos u SAP'!$C$3:$C$501,"=31",'Plan rashoda za unos u SAP'!$N$3:$N$501,"=44")</f>
        <v>0</v>
      </c>
      <c r="G104" s="141">
        <f>SUMIFS('Plan rashoda za unos u SAP'!$K$3:$K$501,'Plan rashoda za unos u SAP'!$C$3:$C$501,"=41",'Plan rashoda za unos u SAP'!$N$3:$N$501,"=44")</f>
        <v>0</v>
      </c>
      <c r="H104" s="141">
        <f>SUMIFS('Plan rashoda za unos u SAP'!$K$3:$K$501,'Plan rashoda za unos u SAP'!$C$3:$C$501,"=43",'Plan rashoda za unos u SAP'!$N$3:$N$501,"=44")</f>
        <v>0</v>
      </c>
      <c r="I104" s="141">
        <f>SUMIFS('Plan rashoda za unos u SAP'!$K$3:$K$501,'Plan rashoda za unos u SAP'!$C$3:$C$501,"=51",'Plan rashoda za unos u SAP'!$N$3:$N$501,"=44")</f>
        <v>0</v>
      </c>
      <c r="J104" s="141">
        <f>SUMIFS('Plan rashoda za unos u SAP'!$K$3:$K$501,'Plan rashoda za unos u SAP'!$C$3:$C$501,"=52",'Plan rashoda za unos u SAP'!$N$3:$N$501,"=44")</f>
        <v>0</v>
      </c>
      <c r="K104" s="141">
        <f>SUMIFS('Plan rashoda za unos u SAP'!$K$3:$K$501,'Plan rashoda za unos u SAP'!$C$3:$C$501,"=552",'Plan rashoda za unos u SAP'!$N$3:$N$501,"=44")</f>
        <v>0</v>
      </c>
      <c r="L104" s="141">
        <f>SUMIFS('Plan rashoda za unos u SAP'!$K$3:$K$501,'Plan rashoda za unos u SAP'!$C$3:$C$501,"=559",'Plan rashoda za unos u SAP'!$N$3:$N$501,"=44")</f>
        <v>0</v>
      </c>
      <c r="M104" s="141">
        <f>SUMIFS('Plan rashoda za unos u SAP'!$K$3:$K$501,'Plan rashoda za unos u SAP'!$C$3:$C$501,"=561",'Plan rashoda za unos u SAP'!$N$3:$N$501,"=44")</f>
        <v>0</v>
      </c>
      <c r="N104" s="141">
        <f>SUMIFS('Plan rashoda za unos u SAP'!$K$3:$K$501,'Plan rashoda za unos u SAP'!$C$3:$C$501,"=563",'Plan rashoda za unos u SAP'!$N$3:$N$501,"=44")</f>
        <v>0</v>
      </c>
      <c r="O104" s="141">
        <f>SUMIFS('Plan rashoda za unos u SAP'!$K$3:$K$501,'Plan rashoda za unos u SAP'!$C$3:$C$501,"=573",'Plan rashoda za unos u SAP'!$N$3:$N$501,"=44")</f>
        <v>0</v>
      </c>
      <c r="P104" s="141">
        <f>SUMIFS('Plan rashoda za unos u SAP'!$K$3:$K$501,'Plan rashoda za unos u SAP'!$C$3:$C$501,"=575",'Plan rashoda za unos u SAP'!$N$3:$N$501,"=44")</f>
        <v>0</v>
      </c>
      <c r="Q104" s="141">
        <f>SUMIFS('Plan rashoda za unos u SAP'!$K$3:$K$501,'Plan rashoda za unos u SAP'!$C$3:$C$501,"=61",'Plan rashoda za unos u SAP'!$N$3:$N$501,"=44")</f>
        <v>0</v>
      </c>
      <c r="R104" s="141">
        <f>SUMIFS('Plan rashoda za unos u SAP'!$K$3:$K$501,'Plan rashoda za unos u SAP'!$C$3:$C$501,"=63",'Plan rashoda za unos u SAP'!$N$3:$N$501,"=44")</f>
        <v>0</v>
      </c>
      <c r="S104" s="141">
        <f>SUMIFS('Plan rashoda za unos u SAP'!$K$3:$K$501,'Plan rashoda za unos u SAP'!$C$3:$C$501,"=71",'Plan rashoda za unos u SAP'!$N$3:$N$501,"=44")</f>
        <v>0</v>
      </c>
      <c r="T104" s="141">
        <f>SUMIFS('Plan rashoda za unos u SAP'!$K$3:$K$501,'Plan rashoda za unos u SAP'!$C$3:$C$501,"=81",'Plan rashoda za unos u SAP'!$N$3:$N$501,"=44")</f>
        <v>0</v>
      </c>
      <c r="U104" s="141">
        <f>SUMIFS('Plan rashoda za unos u SAP'!$K$3:$K$501,'Plan rashoda za unos u SAP'!$C$3:$C$501,"=83",'Plan rashoda za unos u SAP'!$N$3:$N$501,"=44")</f>
        <v>0</v>
      </c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0"/>
      <c r="GF104" s="80"/>
      <c r="GG104" s="80"/>
      <c r="GH104" s="80"/>
      <c r="GI104" s="80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  <c r="IW104" s="81"/>
      <c r="IX104" s="81"/>
      <c r="IY104" s="81"/>
      <c r="IZ104" s="81"/>
      <c r="JA104" s="81"/>
    </row>
    <row r="105" spans="1:261" s="21" customFormat="1" ht="12.6" customHeight="1">
      <c r="A105" s="85">
        <v>45</v>
      </c>
      <c r="B105" s="16" t="s">
        <v>235</v>
      </c>
      <c r="C105" s="134">
        <f t="shared" si="98"/>
        <v>0</v>
      </c>
      <c r="D105" s="141">
        <f>SUMIFS('Plan rashoda za unos u SAP'!$K$3:$K$501,'Plan rashoda za unos u SAP'!$C$3:$C$501,"=11",'Plan rashoda za unos u SAP'!$N$3:$N$501,"=45")</f>
        <v>0</v>
      </c>
      <c r="E105" s="141">
        <f>SUMIFS('Plan rashoda za unos u SAP'!$K$3:$K$501,'Plan rashoda za unos u SAP'!$C$3:$C$501,"=12",'Plan rashoda za unos u SAP'!$N$3:$N$501,"=45")</f>
        <v>0</v>
      </c>
      <c r="F105" s="141">
        <f>SUMIFS('Plan rashoda za unos u SAP'!$K$3:$K$501,'Plan rashoda za unos u SAP'!$C$3:$C$501,"=31",'Plan rashoda za unos u SAP'!$N$3:$N$501,"=45")</f>
        <v>0</v>
      </c>
      <c r="G105" s="141">
        <f>SUMIFS('Plan rashoda za unos u SAP'!$K$3:$K$501,'Plan rashoda za unos u SAP'!$C$3:$C$501,"=41",'Plan rashoda za unos u SAP'!$N$3:$N$501,"=45")</f>
        <v>0</v>
      </c>
      <c r="H105" s="141">
        <f>SUMIFS('Plan rashoda za unos u SAP'!$K$3:$K$501,'Plan rashoda za unos u SAP'!$C$3:$C$501,"=43",'Plan rashoda za unos u SAP'!$N$3:$N$501,"=45")</f>
        <v>0</v>
      </c>
      <c r="I105" s="141">
        <f>SUMIFS('Plan rashoda za unos u SAP'!$K$3:$K$501,'Plan rashoda za unos u SAP'!$C$3:$C$501,"=51",'Plan rashoda za unos u SAP'!$N$3:$N$501,"=45")</f>
        <v>0</v>
      </c>
      <c r="J105" s="141">
        <f>SUMIFS('Plan rashoda za unos u SAP'!$K$3:$K$501,'Plan rashoda za unos u SAP'!$C$3:$C$501,"=52",'Plan rashoda za unos u SAP'!$N$3:$N$501,"=45")</f>
        <v>0</v>
      </c>
      <c r="K105" s="141">
        <f>SUMIFS('Plan rashoda za unos u SAP'!$K$3:$K$501,'Plan rashoda za unos u SAP'!$C$3:$C$501,"=552",'Plan rashoda za unos u SAP'!$N$3:$N$501,"=45")</f>
        <v>0</v>
      </c>
      <c r="L105" s="141">
        <f>SUMIFS('Plan rashoda za unos u SAP'!$K$3:$K$501,'Plan rashoda za unos u SAP'!$C$3:$C$501,"=559",'Plan rashoda za unos u SAP'!$N$3:$N$501,"=45")</f>
        <v>0</v>
      </c>
      <c r="M105" s="141">
        <f>SUMIFS('Plan rashoda za unos u SAP'!$K$3:$K$501,'Plan rashoda za unos u SAP'!$C$3:$C$501,"=561",'Plan rashoda za unos u SAP'!$N$3:$N$501,"=45")</f>
        <v>0</v>
      </c>
      <c r="N105" s="141">
        <f>SUMIFS('Plan rashoda za unos u SAP'!$K$3:$K$501,'Plan rashoda za unos u SAP'!$C$3:$C$501,"=563",'Plan rashoda za unos u SAP'!$N$3:$N$501,"=45")</f>
        <v>0</v>
      </c>
      <c r="O105" s="141">
        <f>SUMIFS('Plan rashoda za unos u SAP'!$K$3:$K$501,'Plan rashoda za unos u SAP'!$C$3:$C$501,"=573",'Plan rashoda za unos u SAP'!$N$3:$N$501,"=45")</f>
        <v>0</v>
      </c>
      <c r="P105" s="141">
        <f>SUMIFS('Plan rashoda za unos u SAP'!$K$3:$K$501,'Plan rashoda za unos u SAP'!$C$3:$C$501,"=575",'Plan rashoda za unos u SAP'!$N$3:$N$501,"=45")</f>
        <v>0</v>
      </c>
      <c r="Q105" s="141">
        <f>SUMIFS('Plan rashoda za unos u SAP'!$K$3:$K$501,'Plan rashoda za unos u SAP'!$C$3:$C$501,"=61",'Plan rashoda za unos u SAP'!$N$3:$N$501,"=45")</f>
        <v>0</v>
      </c>
      <c r="R105" s="141">
        <f>SUMIFS('Plan rashoda za unos u SAP'!$K$3:$K$501,'Plan rashoda za unos u SAP'!$C$3:$C$501,"=63",'Plan rashoda za unos u SAP'!$N$3:$N$501,"=45")</f>
        <v>0</v>
      </c>
      <c r="S105" s="141">
        <f>SUMIFS('Plan rashoda za unos u SAP'!$K$3:$K$501,'Plan rashoda za unos u SAP'!$C$3:$C$501,"=71",'Plan rashoda za unos u SAP'!$N$3:$N$501,"=45")</f>
        <v>0</v>
      </c>
      <c r="T105" s="141">
        <f>SUMIFS('Plan rashoda za unos u SAP'!$K$3:$K$501,'Plan rashoda za unos u SAP'!$C$3:$C$501,"=81",'Plan rashoda za unos u SAP'!$N$3:$N$501,"=45")</f>
        <v>0</v>
      </c>
      <c r="U105" s="141">
        <f>SUMIFS('Plan rashoda za unos u SAP'!$K$3:$K$501,'Plan rashoda za unos u SAP'!$C$3:$C$501,"=83",'Plan rashoda za unos u SAP'!$N$3:$N$501,"=45")</f>
        <v>0</v>
      </c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6"/>
      <c r="GF105" s="86"/>
      <c r="GG105" s="86"/>
      <c r="GH105" s="86"/>
      <c r="GI105" s="86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  <c r="IW105" s="87"/>
      <c r="IX105" s="87"/>
      <c r="IY105" s="87"/>
      <c r="IZ105" s="87"/>
      <c r="JA105" s="87"/>
    </row>
    <row r="106" spans="1:261" s="10" customFormat="1" ht="12.6" customHeight="1">
      <c r="A106" s="123">
        <v>5</v>
      </c>
      <c r="B106" s="124" t="s">
        <v>16</v>
      </c>
      <c r="C106" s="127">
        <f t="shared" si="98"/>
        <v>0</v>
      </c>
      <c r="D106" s="126">
        <f>SUM(D107:D108)</f>
        <v>0</v>
      </c>
      <c r="E106" s="126">
        <f t="shared" ref="E106:U106" si="107">SUM(E107:E108)</f>
        <v>0</v>
      </c>
      <c r="F106" s="126">
        <f t="shared" si="107"/>
        <v>0</v>
      </c>
      <c r="G106" s="126">
        <f t="shared" ref="G106" si="108">SUM(G107:G108)</f>
        <v>0</v>
      </c>
      <c r="H106" s="126">
        <f t="shared" si="107"/>
        <v>0</v>
      </c>
      <c r="I106" s="126">
        <f t="shared" si="107"/>
        <v>0</v>
      </c>
      <c r="J106" s="126">
        <f t="shared" si="107"/>
        <v>0</v>
      </c>
      <c r="K106" s="126">
        <f t="shared" ref="K106" si="109">SUM(K107:K108)</f>
        <v>0</v>
      </c>
      <c r="L106" s="126">
        <f t="shared" si="107"/>
        <v>0</v>
      </c>
      <c r="M106" s="126">
        <f t="shared" si="107"/>
        <v>0</v>
      </c>
      <c r="N106" s="126">
        <f t="shared" si="107"/>
        <v>0</v>
      </c>
      <c r="O106" s="126">
        <f t="shared" ref="O106:P106" si="110">SUM(O107:O108)</f>
        <v>0</v>
      </c>
      <c r="P106" s="126">
        <f t="shared" si="110"/>
        <v>0</v>
      </c>
      <c r="Q106" s="126">
        <f t="shared" si="107"/>
        <v>0</v>
      </c>
      <c r="R106" s="126">
        <f t="shared" si="107"/>
        <v>0</v>
      </c>
      <c r="S106" s="126">
        <f t="shared" si="107"/>
        <v>0</v>
      </c>
      <c r="T106" s="126">
        <f t="shared" si="107"/>
        <v>0</v>
      </c>
      <c r="U106" s="126">
        <f t="shared" si="107"/>
        <v>0</v>
      </c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  <c r="IW106" s="74"/>
      <c r="IX106" s="74"/>
      <c r="IY106" s="74"/>
      <c r="IZ106" s="74"/>
      <c r="JA106" s="74"/>
    </row>
    <row r="107" spans="1:261" s="14" customFormat="1" ht="12.6" customHeight="1">
      <c r="A107" s="11">
        <v>51</v>
      </c>
      <c r="B107" s="12" t="s">
        <v>379</v>
      </c>
      <c r="C107" s="79">
        <f t="shared" si="98"/>
        <v>0</v>
      </c>
      <c r="D107" s="141">
        <f>SUMIFS('Plan rashoda za unos u SAP'!$K$3:$K$501,'Plan rashoda za unos u SAP'!$C$3:$C$501,"=11",'Plan rashoda za unos u SAP'!$N$3:$N$501,"=51")</f>
        <v>0</v>
      </c>
      <c r="E107" s="141">
        <f>SUMIFS('Plan rashoda za unos u SAP'!$K$3:$K$501,'Plan rashoda za unos u SAP'!$C$3:$C$501,"=12",'Plan rashoda za unos u SAP'!$N$3:$N$501,"=51")</f>
        <v>0</v>
      </c>
      <c r="F107" s="141">
        <f>SUMIFS('Plan rashoda za unos u SAP'!$K$3:$K$501,'Plan rashoda za unos u SAP'!$C$3:$C$501,"=31",'Plan rashoda za unos u SAP'!$N$3:$N$501,"=51")</f>
        <v>0</v>
      </c>
      <c r="G107" s="141">
        <f>SUMIFS('Plan rashoda za unos u SAP'!$K$3:$K$501,'Plan rashoda za unos u SAP'!$C$3:$C$501,"=41",'Plan rashoda za unos u SAP'!$N$3:$N$501,"=51")</f>
        <v>0</v>
      </c>
      <c r="H107" s="141">
        <f>SUMIFS('Plan rashoda za unos u SAP'!$K$3:$K$501,'Plan rashoda za unos u SAP'!$C$3:$C$501,"=43",'Plan rashoda za unos u SAP'!$N$3:$N$501,"=51")</f>
        <v>0</v>
      </c>
      <c r="I107" s="141">
        <f>SUMIFS('Plan rashoda za unos u SAP'!$K$3:$K$501,'Plan rashoda za unos u SAP'!$C$3:$C$501,"=51",'Plan rashoda za unos u SAP'!$N$3:$N$501,"=51")</f>
        <v>0</v>
      </c>
      <c r="J107" s="141">
        <f>SUMIFS('Plan rashoda za unos u SAP'!$K$3:$K$501,'Plan rashoda za unos u SAP'!$C$3:$C$501,"=52",'Plan rashoda za unos u SAP'!$N$3:$N$501,"=51")</f>
        <v>0</v>
      </c>
      <c r="K107" s="141">
        <f>SUMIFS('Plan rashoda za unos u SAP'!$K$3:$K$501,'Plan rashoda za unos u SAP'!$C$3:$C$501,"=552",'Plan rashoda za unos u SAP'!$N$3:$N$501,"=51")</f>
        <v>0</v>
      </c>
      <c r="L107" s="141">
        <f>SUMIFS('Plan rashoda za unos u SAP'!$K$3:$K$501,'Plan rashoda za unos u SAP'!$C$3:$C$501,"=559",'Plan rashoda za unos u SAP'!$N$3:$N$501,"=51")</f>
        <v>0</v>
      </c>
      <c r="M107" s="141">
        <f>SUMIFS('Plan rashoda za unos u SAP'!$K$3:$K$501,'Plan rashoda za unos u SAP'!$C$3:$C$501,"=561",'Plan rashoda za unos u SAP'!$N$3:$N$501,"=51")</f>
        <v>0</v>
      </c>
      <c r="N107" s="141">
        <f>SUMIFS('Plan rashoda za unos u SAP'!$K$3:$K$501,'Plan rashoda za unos u SAP'!$C$3:$C$501,"=563",'Plan rashoda za unos u SAP'!$N$3:$N$501,"=51")</f>
        <v>0</v>
      </c>
      <c r="O107" s="141">
        <f>SUMIFS('Plan rashoda za unos u SAP'!$K$3:$K$501,'Plan rashoda za unos u SAP'!$C$3:$C$501,"=573",'Plan rashoda za unos u SAP'!$N$3:$N$501,"=51")</f>
        <v>0</v>
      </c>
      <c r="P107" s="141">
        <f>SUMIFS('Plan rashoda za unos u SAP'!$K$3:$K$501,'Plan rashoda za unos u SAP'!$C$3:$C$501,"=575",'Plan rashoda za unos u SAP'!$N$3:$N$501,"=51")</f>
        <v>0</v>
      </c>
      <c r="Q107" s="141">
        <f>SUMIFS('Plan rashoda za unos u SAP'!$K$3:$K$501,'Plan rashoda za unos u SAP'!$C$3:$C$501,"=61",'Plan rashoda za unos u SAP'!$N$3:$N$501,"=51")</f>
        <v>0</v>
      </c>
      <c r="R107" s="141">
        <f>SUMIFS('Plan rashoda za unos u SAP'!$K$3:$K$501,'Plan rashoda za unos u SAP'!$C$3:$C$501,"=63",'Plan rashoda za unos u SAP'!$N$3:$N$501,"=51")</f>
        <v>0</v>
      </c>
      <c r="S107" s="141">
        <f>SUMIFS('Plan rashoda za unos u SAP'!$K$3:$K$501,'Plan rashoda za unos u SAP'!$C$3:$C$501,"=71",'Plan rashoda za unos u SAP'!$N$3:$N$501,"=51")</f>
        <v>0</v>
      </c>
      <c r="T107" s="141">
        <f>SUMIFS('Plan rashoda za unos u SAP'!$K$3:$K$501,'Plan rashoda za unos u SAP'!$C$3:$C$501,"=81",'Plan rashoda za unos u SAP'!$N$3:$N$501,"=51")</f>
        <v>0</v>
      </c>
      <c r="U107" s="141">
        <f>SUMIFS('Plan rashoda za unos u SAP'!$K$3:$K$501,'Plan rashoda za unos u SAP'!$C$3:$C$501,"=83",'Plan rashoda za unos u SAP'!$N$3:$N$501,"=51")</f>
        <v>0</v>
      </c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80"/>
      <c r="GH107" s="80"/>
      <c r="GI107" s="80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  <c r="IW107" s="81"/>
      <c r="IX107" s="81"/>
      <c r="IY107" s="81"/>
      <c r="IZ107" s="81"/>
      <c r="JA107" s="81"/>
    </row>
    <row r="108" spans="1:261" s="14" customFormat="1" ht="12.6" customHeight="1">
      <c r="A108" s="11">
        <v>54</v>
      </c>
      <c r="B108" s="12" t="s">
        <v>380</v>
      </c>
      <c r="C108" s="79">
        <f t="shared" si="98"/>
        <v>0</v>
      </c>
      <c r="D108" s="141">
        <f>SUMIFS('Plan rashoda za unos u SAP'!$K$3:$K$501,'Plan rashoda za unos u SAP'!$C$3:$C$501,"=11",'Plan rashoda za unos u SAP'!$N$3:$N$501,"=54")</f>
        <v>0</v>
      </c>
      <c r="E108" s="141">
        <f>SUMIFS('Plan rashoda za unos u SAP'!$K$3:$K$501,'Plan rashoda za unos u SAP'!$C$3:$C$501,"=12",'Plan rashoda za unos u SAP'!$N$3:$N$501,"=54")</f>
        <v>0</v>
      </c>
      <c r="F108" s="141">
        <f>SUMIFS('Plan rashoda za unos u SAP'!$K$3:$K$501,'Plan rashoda za unos u SAP'!$C$3:$C$501,"=31",'Plan rashoda za unos u SAP'!$N$3:$N$501,"=54")</f>
        <v>0</v>
      </c>
      <c r="G108" s="141">
        <f>SUMIFS('Plan rashoda za unos u SAP'!$K$3:$K$501,'Plan rashoda za unos u SAP'!$C$3:$C$501,"=41",'Plan rashoda za unos u SAP'!$N$3:$N$501,"=54")</f>
        <v>0</v>
      </c>
      <c r="H108" s="141">
        <f>SUMIFS('Plan rashoda za unos u SAP'!$K$3:$K$501,'Plan rashoda za unos u SAP'!$C$3:$C$501,"=43",'Plan rashoda za unos u SAP'!$N$3:$N$501,"=54")</f>
        <v>0</v>
      </c>
      <c r="I108" s="141">
        <f>SUMIFS('Plan rashoda za unos u SAP'!$K$3:$K$501,'Plan rashoda za unos u SAP'!$C$3:$C$501,"=51",'Plan rashoda za unos u SAP'!$N$3:$N$501,"=54")</f>
        <v>0</v>
      </c>
      <c r="J108" s="141">
        <f>SUMIFS('Plan rashoda za unos u SAP'!$K$3:$K$501,'Plan rashoda za unos u SAP'!$C$3:$C$501,"=52",'Plan rashoda za unos u SAP'!$N$3:$N$501,"=54")</f>
        <v>0</v>
      </c>
      <c r="K108" s="141">
        <f>SUMIFS('Plan rashoda za unos u SAP'!$K$3:$K$501,'Plan rashoda za unos u SAP'!$C$3:$C$501,"=552",'Plan rashoda za unos u SAP'!$N$3:$N$501,"=54")</f>
        <v>0</v>
      </c>
      <c r="L108" s="141">
        <f>SUMIFS('Plan rashoda za unos u SAP'!$K$3:$K$501,'Plan rashoda za unos u SAP'!$C$3:$C$501,"=559",'Plan rashoda za unos u SAP'!$N$3:$N$501,"=54")</f>
        <v>0</v>
      </c>
      <c r="M108" s="141">
        <f>SUMIFS('Plan rashoda za unos u SAP'!$K$3:$K$501,'Plan rashoda za unos u SAP'!$C$3:$C$501,"=561",'Plan rashoda za unos u SAP'!$N$3:$N$501,"=54")</f>
        <v>0</v>
      </c>
      <c r="N108" s="141">
        <f>SUMIFS('Plan rashoda za unos u SAP'!$K$3:$K$501,'Plan rashoda za unos u SAP'!$C$3:$C$501,"=563",'Plan rashoda za unos u SAP'!$N$3:$N$501,"=54")</f>
        <v>0</v>
      </c>
      <c r="O108" s="141">
        <f>SUMIFS('Plan rashoda za unos u SAP'!$K$3:$K$501,'Plan rashoda za unos u SAP'!$C$3:$C$501,"=573",'Plan rashoda za unos u SAP'!$N$3:$N$501,"=54")</f>
        <v>0</v>
      </c>
      <c r="P108" s="141">
        <f>SUMIFS('Plan rashoda za unos u SAP'!$K$3:$K$501,'Plan rashoda za unos u SAP'!$C$3:$C$501,"=575",'Plan rashoda za unos u SAP'!$N$3:$N$501,"=54")</f>
        <v>0</v>
      </c>
      <c r="Q108" s="141">
        <f>SUMIFS('Plan rashoda za unos u SAP'!$K$3:$K$501,'Plan rashoda za unos u SAP'!$C$3:$C$501,"=61",'Plan rashoda za unos u SAP'!$N$3:$N$501,"=54")</f>
        <v>0</v>
      </c>
      <c r="R108" s="141">
        <f>SUMIFS('Plan rashoda za unos u SAP'!$K$3:$K$501,'Plan rashoda za unos u SAP'!$C$3:$C$501,"=63",'Plan rashoda za unos u SAP'!$N$3:$N$501,"=54")</f>
        <v>0</v>
      </c>
      <c r="S108" s="141">
        <f>SUMIFS('Plan rashoda za unos u SAP'!$K$3:$K$501,'Plan rashoda za unos u SAP'!$C$3:$C$501,"=71",'Plan rashoda za unos u SAP'!$N$3:$N$501,"=54")</f>
        <v>0</v>
      </c>
      <c r="T108" s="141">
        <f>SUMIFS('Plan rashoda za unos u SAP'!$K$3:$K$501,'Plan rashoda za unos u SAP'!$C$3:$C$501,"=81",'Plan rashoda za unos u SAP'!$N$3:$N$501,"=54")</f>
        <v>0</v>
      </c>
      <c r="U108" s="141">
        <f>SUMIFS('Plan rashoda za unos u SAP'!$K$3:$K$501,'Plan rashoda za unos u SAP'!$C$3:$C$501,"=83",'Plan rashoda za unos u SAP'!$N$3:$N$501,"=54")</f>
        <v>0</v>
      </c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0"/>
      <c r="GF108" s="80"/>
      <c r="GG108" s="80"/>
      <c r="GH108" s="80"/>
      <c r="GI108" s="80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  <c r="IW108" s="81"/>
      <c r="IX108" s="81"/>
      <c r="IY108" s="81"/>
      <c r="IZ108" s="81"/>
      <c r="JA108" s="81"/>
    </row>
    <row r="109" spans="1:261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  <c r="IW109" s="74"/>
      <c r="IX109" s="74"/>
      <c r="IY109" s="74"/>
      <c r="IZ109" s="74"/>
      <c r="JA109" s="74"/>
    </row>
    <row r="110" spans="1:261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  <c r="IW110" s="74"/>
      <c r="IX110" s="74"/>
      <c r="IY110" s="74"/>
      <c r="IZ110" s="74"/>
      <c r="JA110" s="74"/>
    </row>
    <row r="111" spans="1:261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  <c r="IW111" s="74"/>
      <c r="IX111" s="74"/>
      <c r="IY111" s="74"/>
      <c r="IZ111" s="74"/>
      <c r="JA111" s="74"/>
    </row>
    <row r="112" spans="1:261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  <c r="IW112" s="74"/>
      <c r="IX112" s="74"/>
      <c r="IY112" s="74"/>
      <c r="IZ112" s="74"/>
      <c r="JA112" s="74"/>
    </row>
    <row r="113" spans="1:261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  <c r="IW113" s="74"/>
      <c r="IX113" s="74"/>
      <c r="IY113" s="74"/>
      <c r="IZ113" s="74"/>
      <c r="JA113" s="74"/>
    </row>
    <row r="114" spans="1:261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  <c r="IW114" s="74"/>
      <c r="IX114" s="74"/>
      <c r="IY114" s="74"/>
      <c r="IZ114" s="74"/>
      <c r="JA114" s="74"/>
    </row>
    <row r="115" spans="1:261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  <c r="IW115" s="74"/>
      <c r="IX115" s="74"/>
      <c r="IY115" s="74"/>
      <c r="IZ115" s="74"/>
      <c r="JA115" s="74"/>
    </row>
    <row r="116" spans="1:261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  <c r="IW116" s="74"/>
      <c r="IX116" s="74"/>
      <c r="IY116" s="74"/>
      <c r="IZ116" s="74"/>
      <c r="JA116" s="74"/>
    </row>
    <row r="117" spans="1:261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  <c r="IW117" s="74"/>
      <c r="IX117" s="74"/>
      <c r="IY117" s="74"/>
      <c r="IZ117" s="74"/>
      <c r="JA117" s="74"/>
    </row>
    <row r="118" spans="1:261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  <c r="IW118" s="74"/>
      <c r="IX118" s="74"/>
      <c r="IY118" s="74"/>
      <c r="IZ118" s="74"/>
      <c r="JA118" s="74"/>
    </row>
    <row r="119" spans="1:261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  <c r="IW119" s="74"/>
      <c r="IX119" s="74"/>
      <c r="IY119" s="74"/>
      <c r="IZ119" s="74"/>
      <c r="JA119" s="74"/>
    </row>
    <row r="120" spans="1:261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  <c r="IW120" s="74"/>
      <c r="IX120" s="74"/>
      <c r="IY120" s="74"/>
      <c r="IZ120" s="74"/>
      <c r="JA120" s="74"/>
    </row>
    <row r="121" spans="1:261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  <c r="IW121" s="74"/>
      <c r="IX121" s="74"/>
      <c r="IY121" s="74"/>
      <c r="IZ121" s="74"/>
      <c r="JA121" s="74"/>
    </row>
    <row r="122" spans="1:261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  <c r="IW122" s="74"/>
      <c r="IX122" s="74"/>
      <c r="IY122" s="74"/>
      <c r="IZ122" s="74"/>
      <c r="JA122" s="74"/>
    </row>
    <row r="123" spans="1:261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  <c r="IW123" s="74"/>
      <c r="IX123" s="74"/>
      <c r="IY123" s="74"/>
      <c r="IZ123" s="74"/>
      <c r="JA123" s="74"/>
    </row>
    <row r="124" spans="1:261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  <c r="IW124" s="74"/>
      <c r="IX124" s="74"/>
      <c r="IY124" s="74"/>
      <c r="IZ124" s="74"/>
      <c r="JA124" s="74"/>
    </row>
    <row r="125" spans="1:261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  <c r="IW125" s="74"/>
      <c r="IX125" s="74"/>
      <c r="IY125" s="74"/>
      <c r="IZ125" s="74"/>
      <c r="JA125" s="74"/>
    </row>
    <row r="126" spans="1:261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  <c r="IW126" s="74"/>
      <c r="IX126" s="74"/>
      <c r="IY126" s="74"/>
      <c r="IZ126" s="74"/>
      <c r="JA126" s="74"/>
    </row>
    <row r="127" spans="1:261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  <c r="IW127" s="74"/>
      <c r="IX127" s="74"/>
      <c r="IY127" s="74"/>
      <c r="IZ127" s="74"/>
      <c r="JA127" s="74"/>
    </row>
    <row r="128" spans="1:261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  <c r="IW128" s="74"/>
      <c r="IX128" s="74"/>
      <c r="IY128" s="74"/>
      <c r="IZ128" s="74"/>
      <c r="JA128" s="74"/>
    </row>
    <row r="129" spans="1:261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  <c r="IW129" s="74"/>
      <c r="IX129" s="74"/>
      <c r="IY129" s="74"/>
      <c r="IZ129" s="74"/>
      <c r="JA129" s="74"/>
    </row>
    <row r="130" spans="1:261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  <c r="IW130" s="74"/>
      <c r="IX130" s="74"/>
      <c r="IY130" s="74"/>
      <c r="IZ130" s="74"/>
      <c r="JA130" s="74"/>
    </row>
    <row r="131" spans="1:261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  <c r="IW131" s="74"/>
      <c r="IX131" s="74"/>
      <c r="IY131" s="74"/>
      <c r="IZ131" s="74"/>
      <c r="JA131" s="74"/>
    </row>
    <row r="132" spans="1:261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  <c r="IW132" s="74"/>
      <c r="IX132" s="74"/>
      <c r="IY132" s="74"/>
      <c r="IZ132" s="74"/>
      <c r="JA132" s="74"/>
    </row>
    <row r="133" spans="1:261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  <c r="IW133" s="74"/>
      <c r="IX133" s="74"/>
      <c r="IY133" s="74"/>
      <c r="IZ133" s="74"/>
      <c r="JA133" s="74"/>
    </row>
    <row r="134" spans="1:261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  <c r="IW134" s="74"/>
      <c r="IX134" s="74"/>
      <c r="IY134" s="74"/>
      <c r="IZ134" s="74"/>
      <c r="JA134" s="74"/>
    </row>
    <row r="135" spans="1:261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  <c r="IW135" s="74"/>
      <c r="IX135" s="74"/>
      <c r="IY135" s="74"/>
      <c r="IZ135" s="74"/>
      <c r="JA135" s="74"/>
    </row>
    <row r="136" spans="1:261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  <c r="IW136" s="74"/>
      <c r="IX136" s="74"/>
      <c r="IY136" s="74"/>
      <c r="IZ136" s="74"/>
      <c r="JA136" s="74"/>
    </row>
    <row r="137" spans="1:261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  <c r="IW137" s="74"/>
      <c r="IX137" s="74"/>
      <c r="IY137" s="74"/>
      <c r="IZ137" s="74"/>
      <c r="JA137" s="74"/>
    </row>
    <row r="138" spans="1:261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  <c r="IW138" s="74"/>
      <c r="IX138" s="74"/>
      <c r="IY138" s="74"/>
      <c r="IZ138" s="74"/>
      <c r="JA138" s="74"/>
    </row>
    <row r="139" spans="1:261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  <c r="IW139" s="74"/>
      <c r="IX139" s="74"/>
      <c r="IY139" s="74"/>
      <c r="IZ139" s="74"/>
      <c r="JA139" s="74"/>
    </row>
    <row r="140" spans="1:261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  <c r="IW140" s="74"/>
      <c r="IX140" s="74"/>
      <c r="IY140" s="74"/>
      <c r="IZ140" s="74"/>
      <c r="JA140" s="74"/>
    </row>
    <row r="141" spans="1:261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  <c r="IW141" s="74"/>
      <c r="IX141" s="74"/>
      <c r="IY141" s="74"/>
      <c r="IZ141" s="74"/>
      <c r="JA141" s="74"/>
    </row>
    <row r="142" spans="1:261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  <c r="IW142" s="74"/>
      <c r="IX142" s="74"/>
      <c r="IY142" s="74"/>
      <c r="IZ142" s="74"/>
      <c r="JA142" s="74"/>
    </row>
    <row r="143" spans="1:261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  <c r="IW143" s="74"/>
      <c r="IX143" s="74"/>
      <c r="IY143" s="74"/>
      <c r="IZ143" s="74"/>
      <c r="JA143" s="74"/>
    </row>
    <row r="144" spans="1:261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  <c r="IW144" s="74"/>
      <c r="IX144" s="74"/>
      <c r="IY144" s="74"/>
      <c r="IZ144" s="74"/>
      <c r="JA144" s="74"/>
    </row>
    <row r="145" spans="1:261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  <c r="IW145" s="74"/>
      <c r="IX145" s="74"/>
      <c r="IY145" s="74"/>
      <c r="IZ145" s="74"/>
      <c r="JA145" s="74"/>
    </row>
    <row r="146" spans="1:261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  <c r="IW146" s="74"/>
      <c r="IX146" s="74"/>
      <c r="IY146" s="74"/>
      <c r="IZ146" s="74"/>
      <c r="JA146" s="74"/>
    </row>
    <row r="147" spans="1:261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  <c r="IW147" s="74"/>
      <c r="IX147" s="74"/>
      <c r="IY147" s="74"/>
      <c r="IZ147" s="74"/>
      <c r="JA147" s="74"/>
    </row>
    <row r="148" spans="1:261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  <c r="IW148" s="74"/>
      <c r="IX148" s="74"/>
      <c r="IY148" s="74"/>
      <c r="IZ148" s="74"/>
      <c r="JA148" s="74"/>
    </row>
    <row r="149" spans="1:261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  <c r="IW149" s="74"/>
      <c r="IX149" s="74"/>
      <c r="IY149" s="74"/>
      <c r="IZ149" s="74"/>
      <c r="JA149" s="74"/>
    </row>
    <row r="150" spans="1:261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  <c r="IW150" s="74"/>
      <c r="IX150" s="74"/>
      <c r="IY150" s="74"/>
      <c r="IZ150" s="74"/>
      <c r="JA150" s="74"/>
    </row>
    <row r="151" spans="1:261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  <c r="IW151" s="74"/>
      <c r="IX151" s="74"/>
      <c r="IY151" s="74"/>
      <c r="IZ151" s="74"/>
      <c r="JA151" s="74"/>
    </row>
    <row r="152" spans="1:261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  <c r="IW152" s="74"/>
      <c r="IX152" s="74"/>
      <c r="IY152" s="74"/>
      <c r="IZ152" s="74"/>
      <c r="JA152" s="74"/>
    </row>
    <row r="153" spans="1:261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  <c r="IW153" s="74"/>
      <c r="IX153" s="74"/>
      <c r="IY153" s="74"/>
      <c r="IZ153" s="74"/>
      <c r="JA153" s="74"/>
    </row>
    <row r="154" spans="1:261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  <c r="IW154" s="74"/>
      <c r="IX154" s="74"/>
      <c r="IY154" s="74"/>
      <c r="IZ154" s="74"/>
      <c r="JA154" s="74"/>
    </row>
    <row r="155" spans="1:261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  <c r="IW155" s="74"/>
      <c r="IX155" s="74"/>
      <c r="IY155" s="74"/>
      <c r="IZ155" s="74"/>
      <c r="JA155" s="74"/>
    </row>
    <row r="156" spans="1:261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  <c r="IW156" s="74"/>
      <c r="IX156" s="74"/>
      <c r="IY156" s="74"/>
      <c r="IZ156" s="74"/>
      <c r="JA156" s="74"/>
    </row>
    <row r="157" spans="1:261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  <c r="IW157" s="74"/>
      <c r="IX157" s="74"/>
      <c r="IY157" s="74"/>
      <c r="IZ157" s="74"/>
      <c r="JA157" s="74"/>
    </row>
    <row r="158" spans="1:261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  <c r="IW158" s="74"/>
      <c r="IX158" s="74"/>
      <c r="IY158" s="74"/>
      <c r="IZ158" s="74"/>
      <c r="JA158" s="74"/>
    </row>
    <row r="159" spans="1:261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  <c r="IW159" s="74"/>
      <c r="IX159" s="74"/>
      <c r="IY159" s="74"/>
      <c r="IZ159" s="74"/>
      <c r="JA159" s="74"/>
    </row>
    <row r="160" spans="1:261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  <c r="IW160" s="74"/>
      <c r="IX160" s="74"/>
      <c r="IY160" s="74"/>
      <c r="IZ160" s="74"/>
      <c r="JA160" s="74"/>
    </row>
    <row r="161" spans="1:261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  <c r="IW161" s="74"/>
      <c r="IX161" s="74"/>
      <c r="IY161" s="74"/>
      <c r="IZ161" s="74"/>
      <c r="JA161" s="74"/>
    </row>
    <row r="162" spans="1:261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  <c r="IW162" s="74"/>
      <c r="IX162" s="74"/>
      <c r="IY162" s="74"/>
      <c r="IZ162" s="74"/>
      <c r="JA162" s="74"/>
    </row>
    <row r="163" spans="1:261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  <c r="IW163" s="74"/>
      <c r="IX163" s="74"/>
      <c r="IY163" s="74"/>
      <c r="IZ163" s="74"/>
      <c r="JA163" s="74"/>
    </row>
    <row r="164" spans="1:261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  <c r="IW164" s="74"/>
      <c r="IX164" s="74"/>
      <c r="IY164" s="74"/>
      <c r="IZ164" s="74"/>
      <c r="JA164" s="74"/>
    </row>
    <row r="165" spans="1:261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  <c r="IW165" s="74"/>
      <c r="IX165" s="74"/>
      <c r="IY165" s="74"/>
      <c r="IZ165" s="74"/>
      <c r="JA165" s="74"/>
    </row>
    <row r="166" spans="1:261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  <c r="IW166" s="74"/>
      <c r="IX166" s="74"/>
      <c r="IY166" s="74"/>
      <c r="IZ166" s="74"/>
      <c r="JA166" s="74"/>
    </row>
    <row r="167" spans="1:261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  <c r="IW167" s="74"/>
      <c r="IX167" s="74"/>
      <c r="IY167" s="74"/>
      <c r="IZ167" s="74"/>
      <c r="JA167" s="74"/>
    </row>
    <row r="168" spans="1:261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  <c r="IW168" s="74"/>
      <c r="IX168" s="74"/>
      <c r="IY168" s="74"/>
      <c r="IZ168" s="74"/>
      <c r="JA168" s="74"/>
    </row>
    <row r="169" spans="1:261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  <c r="IW169" s="74"/>
      <c r="IX169" s="74"/>
      <c r="IY169" s="74"/>
      <c r="IZ169" s="74"/>
      <c r="JA169" s="74"/>
    </row>
    <row r="170" spans="1:261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  <c r="IW170" s="74"/>
      <c r="IX170" s="74"/>
      <c r="IY170" s="74"/>
      <c r="IZ170" s="74"/>
      <c r="JA170" s="74"/>
    </row>
    <row r="171" spans="1:261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  <c r="IW171" s="74"/>
      <c r="IX171" s="74"/>
      <c r="IY171" s="74"/>
      <c r="IZ171" s="74"/>
      <c r="JA171" s="74"/>
    </row>
    <row r="172" spans="1:261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  <c r="IW172" s="74"/>
      <c r="IX172" s="74"/>
      <c r="IY172" s="74"/>
      <c r="IZ172" s="74"/>
      <c r="JA172" s="74"/>
    </row>
    <row r="173" spans="1:261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  <c r="IW173" s="74"/>
      <c r="IX173" s="74"/>
      <c r="IY173" s="74"/>
      <c r="IZ173" s="74"/>
      <c r="JA173" s="74"/>
    </row>
    <row r="174" spans="1:261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  <c r="IW174" s="74"/>
      <c r="IX174" s="74"/>
      <c r="IY174" s="74"/>
      <c r="IZ174" s="74"/>
      <c r="JA174" s="74"/>
    </row>
    <row r="175" spans="1:261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  <c r="IW175" s="74"/>
      <c r="IX175" s="74"/>
      <c r="IY175" s="74"/>
      <c r="IZ175" s="74"/>
      <c r="JA175" s="74"/>
    </row>
    <row r="176" spans="1:261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  <c r="IW176" s="74"/>
      <c r="IX176" s="74"/>
      <c r="IY176" s="74"/>
      <c r="IZ176" s="74"/>
      <c r="JA176" s="74"/>
    </row>
    <row r="177" spans="1:261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  <c r="IW177" s="74"/>
      <c r="IX177" s="74"/>
      <c r="IY177" s="74"/>
      <c r="IZ177" s="74"/>
      <c r="JA177" s="74"/>
    </row>
    <row r="178" spans="1:261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  <c r="IW178" s="74"/>
      <c r="IX178" s="74"/>
      <c r="IY178" s="74"/>
      <c r="IZ178" s="74"/>
      <c r="JA178" s="74"/>
    </row>
    <row r="179" spans="1:261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  <c r="IW179" s="74"/>
      <c r="IX179" s="74"/>
      <c r="IY179" s="74"/>
      <c r="IZ179" s="74"/>
      <c r="JA179" s="74"/>
    </row>
    <row r="180" spans="1:261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  <c r="IW180" s="74"/>
      <c r="IX180" s="74"/>
      <c r="IY180" s="74"/>
      <c r="IZ180" s="74"/>
      <c r="JA180" s="74"/>
    </row>
    <row r="181" spans="1:261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  <c r="IW181" s="74"/>
      <c r="IX181" s="74"/>
      <c r="IY181" s="74"/>
      <c r="IZ181" s="74"/>
      <c r="JA181" s="74"/>
    </row>
    <row r="182" spans="1:261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  <c r="IW182" s="74"/>
      <c r="IX182" s="74"/>
      <c r="IY182" s="74"/>
      <c r="IZ182" s="74"/>
      <c r="JA182" s="74"/>
    </row>
    <row r="183" spans="1:261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  <c r="IW183" s="74"/>
      <c r="IX183" s="74"/>
      <c r="IY183" s="74"/>
      <c r="IZ183" s="74"/>
      <c r="JA183" s="74"/>
    </row>
    <row r="184" spans="1:261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  <c r="IW184" s="74"/>
      <c r="IX184" s="74"/>
      <c r="IY184" s="74"/>
      <c r="IZ184" s="74"/>
      <c r="JA184" s="74"/>
    </row>
    <row r="185" spans="1:261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  <c r="IW185" s="74"/>
      <c r="IX185" s="74"/>
      <c r="IY185" s="74"/>
      <c r="IZ185" s="74"/>
      <c r="JA185" s="74"/>
    </row>
    <row r="186" spans="1:261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  <c r="IW186" s="74"/>
      <c r="IX186" s="74"/>
      <c r="IY186" s="74"/>
      <c r="IZ186" s="74"/>
      <c r="JA186" s="74"/>
    </row>
    <row r="187" spans="1:261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  <c r="IW187" s="74"/>
      <c r="IX187" s="74"/>
      <c r="IY187" s="74"/>
      <c r="IZ187" s="74"/>
      <c r="JA187" s="74"/>
    </row>
    <row r="188" spans="1:261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  <c r="IW188" s="74"/>
      <c r="IX188" s="74"/>
      <c r="IY188" s="74"/>
      <c r="IZ188" s="74"/>
      <c r="JA188" s="74"/>
    </row>
    <row r="189" spans="1:261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  <c r="IW189" s="74"/>
      <c r="IX189" s="74"/>
      <c r="IY189" s="74"/>
      <c r="IZ189" s="74"/>
      <c r="JA189" s="74"/>
    </row>
    <row r="190" spans="1:261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  <c r="IW190" s="74"/>
      <c r="IX190" s="74"/>
      <c r="IY190" s="74"/>
      <c r="IZ190" s="74"/>
      <c r="JA190" s="74"/>
    </row>
    <row r="191" spans="1:261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  <c r="IW191" s="74"/>
      <c r="IX191" s="74"/>
      <c r="IY191" s="74"/>
      <c r="IZ191" s="74"/>
      <c r="JA191" s="74"/>
    </row>
    <row r="192" spans="1:261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  <c r="IW192" s="74"/>
      <c r="IX192" s="74"/>
      <c r="IY192" s="74"/>
      <c r="IZ192" s="74"/>
      <c r="JA192" s="74"/>
    </row>
    <row r="193" spans="1:261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  <c r="IW193" s="74"/>
      <c r="IX193" s="74"/>
      <c r="IY193" s="74"/>
      <c r="IZ193" s="74"/>
      <c r="JA193" s="74"/>
    </row>
    <row r="194" spans="1:261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  <c r="IW194" s="74"/>
      <c r="IX194" s="74"/>
      <c r="IY194" s="74"/>
      <c r="IZ194" s="74"/>
      <c r="JA194" s="74"/>
    </row>
    <row r="195" spans="1:261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  <c r="IW195" s="74"/>
      <c r="IX195" s="74"/>
      <c r="IY195" s="74"/>
      <c r="IZ195" s="74"/>
      <c r="JA195" s="74"/>
    </row>
    <row r="196" spans="1:261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  <c r="IW196" s="74"/>
      <c r="IX196" s="74"/>
      <c r="IY196" s="74"/>
      <c r="IZ196" s="74"/>
      <c r="JA196" s="74"/>
    </row>
    <row r="197" spans="1:261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  <c r="IW197" s="74"/>
      <c r="IX197" s="74"/>
      <c r="IY197" s="74"/>
      <c r="IZ197" s="74"/>
      <c r="JA197" s="74"/>
    </row>
    <row r="198" spans="1:261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  <c r="IW198" s="74"/>
      <c r="IX198" s="74"/>
      <c r="IY198" s="74"/>
      <c r="IZ198" s="74"/>
      <c r="JA198" s="74"/>
    </row>
    <row r="199" spans="1:261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  <c r="IW199" s="74"/>
      <c r="IX199" s="74"/>
      <c r="IY199" s="74"/>
      <c r="IZ199" s="74"/>
      <c r="JA199" s="74"/>
    </row>
    <row r="200" spans="1:261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  <c r="IW200" s="74"/>
      <c r="IX200" s="74"/>
      <c r="IY200" s="74"/>
      <c r="IZ200" s="74"/>
      <c r="JA200" s="74"/>
    </row>
    <row r="201" spans="1:261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  <c r="IW201" s="74"/>
      <c r="IX201" s="74"/>
      <c r="IY201" s="74"/>
      <c r="IZ201" s="74"/>
      <c r="JA201" s="74"/>
    </row>
    <row r="202" spans="1:261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  <c r="IW202" s="74"/>
      <c r="IX202" s="74"/>
      <c r="IY202" s="74"/>
      <c r="IZ202" s="74"/>
      <c r="JA202" s="74"/>
    </row>
    <row r="203" spans="1:261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  <c r="IW203" s="74"/>
      <c r="IX203" s="74"/>
      <c r="IY203" s="74"/>
      <c r="IZ203" s="74"/>
      <c r="JA203" s="74"/>
    </row>
    <row r="204" spans="1:261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  <c r="IW204" s="74"/>
      <c r="IX204" s="74"/>
      <c r="IY204" s="74"/>
      <c r="IZ204" s="74"/>
      <c r="JA204" s="74"/>
    </row>
    <row r="205" spans="1:261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  <c r="IW205" s="74"/>
      <c r="IX205" s="74"/>
      <c r="IY205" s="74"/>
      <c r="IZ205" s="74"/>
      <c r="JA205" s="74"/>
    </row>
    <row r="206" spans="1:261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  <c r="IW206" s="74"/>
      <c r="IX206" s="74"/>
      <c r="IY206" s="74"/>
      <c r="IZ206" s="74"/>
      <c r="JA206" s="74"/>
    </row>
    <row r="207" spans="1:261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  <c r="IW207" s="74"/>
      <c r="IX207" s="74"/>
      <c r="IY207" s="74"/>
      <c r="IZ207" s="74"/>
      <c r="JA207" s="74"/>
    </row>
    <row r="208" spans="1:261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  <c r="IW208" s="74"/>
      <c r="IX208" s="74"/>
      <c r="IY208" s="74"/>
      <c r="IZ208" s="74"/>
      <c r="JA208" s="74"/>
    </row>
    <row r="209" spans="1:261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  <c r="IW209" s="74"/>
      <c r="IX209" s="74"/>
      <c r="IY209" s="74"/>
      <c r="IZ209" s="74"/>
      <c r="JA209" s="74"/>
    </row>
    <row r="210" spans="1:261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  <c r="IW210" s="74"/>
      <c r="IX210" s="74"/>
      <c r="IY210" s="74"/>
      <c r="IZ210" s="74"/>
      <c r="JA210" s="74"/>
    </row>
    <row r="211" spans="1:261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  <c r="IW211" s="74"/>
      <c r="IX211" s="74"/>
      <c r="IY211" s="74"/>
      <c r="IZ211" s="74"/>
      <c r="JA211" s="74"/>
    </row>
    <row r="212" spans="1:261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  <c r="IW212" s="74"/>
      <c r="IX212" s="74"/>
      <c r="IY212" s="74"/>
      <c r="IZ212" s="74"/>
      <c r="JA212" s="74"/>
    </row>
    <row r="213" spans="1:261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  <c r="IW213" s="74"/>
      <c r="IX213" s="74"/>
      <c r="IY213" s="74"/>
      <c r="IZ213" s="74"/>
      <c r="JA213" s="74"/>
    </row>
    <row r="214" spans="1:261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  <c r="IW214" s="74"/>
      <c r="IX214" s="74"/>
      <c r="IY214" s="74"/>
      <c r="IZ214" s="74"/>
      <c r="JA214" s="74"/>
    </row>
    <row r="215" spans="1:261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  <c r="IW215" s="74"/>
      <c r="IX215" s="74"/>
      <c r="IY215" s="74"/>
      <c r="IZ215" s="74"/>
      <c r="JA215" s="74"/>
    </row>
    <row r="216" spans="1:261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  <c r="IW216" s="74"/>
      <c r="IX216" s="74"/>
      <c r="IY216" s="74"/>
      <c r="IZ216" s="74"/>
      <c r="JA216" s="74"/>
    </row>
    <row r="217" spans="1:261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  <c r="IW217" s="74"/>
      <c r="IX217" s="74"/>
      <c r="IY217" s="74"/>
      <c r="IZ217" s="74"/>
      <c r="JA217" s="74"/>
    </row>
    <row r="218" spans="1:261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  <c r="IW218" s="74"/>
      <c r="IX218" s="74"/>
      <c r="IY218" s="74"/>
      <c r="IZ218" s="74"/>
      <c r="JA218" s="74"/>
    </row>
    <row r="219" spans="1:261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  <c r="IW219" s="74"/>
      <c r="IX219" s="74"/>
      <c r="IY219" s="74"/>
      <c r="IZ219" s="74"/>
      <c r="JA219" s="74"/>
    </row>
    <row r="220" spans="1:261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  <c r="IW220" s="74"/>
      <c r="IX220" s="74"/>
      <c r="IY220" s="74"/>
      <c r="IZ220" s="74"/>
      <c r="JA220" s="74"/>
    </row>
    <row r="221" spans="1:261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  <c r="IW221" s="74"/>
      <c r="IX221" s="74"/>
      <c r="IY221" s="74"/>
      <c r="IZ221" s="74"/>
      <c r="JA221" s="74"/>
    </row>
    <row r="222" spans="1:261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  <c r="IW222" s="74"/>
      <c r="IX222" s="74"/>
      <c r="IY222" s="74"/>
      <c r="IZ222" s="74"/>
      <c r="JA222" s="74"/>
    </row>
    <row r="223" spans="1:261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  <c r="IW223" s="74"/>
      <c r="IX223" s="74"/>
      <c r="IY223" s="74"/>
      <c r="IZ223" s="74"/>
      <c r="JA223" s="74"/>
    </row>
    <row r="224" spans="1:261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  <c r="IW224" s="74"/>
      <c r="IX224" s="74"/>
      <c r="IY224" s="74"/>
      <c r="IZ224" s="74"/>
      <c r="JA224" s="74"/>
    </row>
    <row r="225" spans="1:261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  <c r="IW225" s="74"/>
      <c r="IX225" s="74"/>
      <c r="IY225" s="74"/>
      <c r="IZ225" s="74"/>
      <c r="JA225" s="74"/>
    </row>
    <row r="226" spans="1:261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  <c r="IW226" s="74"/>
      <c r="IX226" s="74"/>
      <c r="IY226" s="74"/>
      <c r="IZ226" s="74"/>
      <c r="JA226" s="74"/>
    </row>
    <row r="227" spans="1:261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  <c r="IW227" s="74"/>
      <c r="IX227" s="74"/>
      <c r="IY227" s="74"/>
      <c r="IZ227" s="74"/>
      <c r="JA227" s="74"/>
    </row>
    <row r="228" spans="1:261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  <c r="IW228" s="74"/>
      <c r="IX228" s="74"/>
      <c r="IY228" s="74"/>
      <c r="IZ228" s="74"/>
      <c r="JA228" s="74"/>
    </row>
    <row r="229" spans="1:261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  <c r="IW229" s="74"/>
      <c r="IX229" s="74"/>
      <c r="IY229" s="74"/>
      <c r="IZ229" s="74"/>
      <c r="JA229" s="74"/>
    </row>
    <row r="230" spans="1:261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  <c r="IW230" s="74"/>
      <c r="IX230" s="74"/>
      <c r="IY230" s="74"/>
      <c r="IZ230" s="74"/>
      <c r="JA230" s="74"/>
    </row>
    <row r="231" spans="1:261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  <c r="IW231" s="74"/>
      <c r="IX231" s="74"/>
      <c r="IY231" s="74"/>
      <c r="IZ231" s="74"/>
      <c r="JA231" s="74"/>
    </row>
    <row r="232" spans="1:261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  <c r="IW232" s="74"/>
      <c r="IX232" s="74"/>
      <c r="IY232" s="74"/>
      <c r="IZ232" s="74"/>
      <c r="JA232" s="74"/>
    </row>
    <row r="233" spans="1:261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  <c r="IW233" s="74"/>
      <c r="IX233" s="74"/>
      <c r="IY233" s="74"/>
      <c r="IZ233" s="74"/>
      <c r="JA233" s="74"/>
    </row>
    <row r="234" spans="1:261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  <c r="IW234" s="74"/>
      <c r="IX234" s="74"/>
      <c r="IY234" s="74"/>
      <c r="IZ234" s="74"/>
      <c r="JA234" s="74"/>
    </row>
    <row r="235" spans="1:261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  <c r="IW235" s="74"/>
      <c r="IX235" s="74"/>
      <c r="IY235" s="74"/>
      <c r="IZ235" s="74"/>
      <c r="JA235" s="74"/>
    </row>
    <row r="236" spans="1:261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  <c r="IW236" s="74"/>
      <c r="IX236" s="74"/>
      <c r="IY236" s="74"/>
      <c r="IZ236" s="74"/>
      <c r="JA236" s="74"/>
    </row>
    <row r="237" spans="1:261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  <c r="IW237" s="74"/>
      <c r="IX237" s="74"/>
      <c r="IY237" s="74"/>
      <c r="IZ237" s="74"/>
      <c r="JA237" s="74"/>
    </row>
    <row r="238" spans="1:261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  <c r="IW238" s="74"/>
      <c r="IX238" s="74"/>
      <c r="IY238" s="74"/>
      <c r="IZ238" s="74"/>
      <c r="JA238" s="74"/>
    </row>
    <row r="239" spans="1:261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  <c r="IW239" s="74"/>
      <c r="IX239" s="74"/>
      <c r="IY239" s="74"/>
      <c r="IZ239" s="74"/>
      <c r="JA239" s="74"/>
    </row>
    <row r="240" spans="1:261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  <c r="IW240" s="74"/>
      <c r="IX240" s="74"/>
      <c r="IY240" s="74"/>
      <c r="IZ240" s="74"/>
      <c r="JA240" s="74"/>
    </row>
    <row r="241" spans="1:261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  <c r="IW241" s="74"/>
      <c r="IX241" s="74"/>
      <c r="IY241" s="74"/>
      <c r="IZ241" s="74"/>
      <c r="JA241" s="74"/>
    </row>
    <row r="242" spans="1:261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  <c r="IW242" s="74"/>
      <c r="IX242" s="74"/>
      <c r="IY242" s="74"/>
      <c r="IZ242" s="74"/>
      <c r="JA242" s="74"/>
    </row>
    <row r="243" spans="1:261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  <c r="IW243" s="74"/>
      <c r="IX243" s="74"/>
      <c r="IY243" s="74"/>
      <c r="IZ243" s="74"/>
      <c r="JA243" s="74"/>
    </row>
    <row r="244" spans="1:261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  <c r="IW244" s="74"/>
      <c r="IX244" s="74"/>
      <c r="IY244" s="74"/>
      <c r="IZ244" s="74"/>
      <c r="JA244" s="74"/>
    </row>
    <row r="245" spans="1:261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  <c r="IW245" s="74"/>
      <c r="IX245" s="74"/>
      <c r="IY245" s="74"/>
      <c r="IZ245" s="74"/>
      <c r="JA245" s="74"/>
    </row>
    <row r="246" spans="1:261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  <c r="IW246" s="74"/>
      <c r="IX246" s="74"/>
      <c r="IY246" s="74"/>
      <c r="IZ246" s="74"/>
      <c r="JA246" s="74"/>
    </row>
    <row r="247" spans="1:261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  <c r="IW247" s="74"/>
      <c r="IX247" s="74"/>
      <c r="IY247" s="74"/>
      <c r="IZ247" s="74"/>
      <c r="JA247" s="74"/>
    </row>
    <row r="248" spans="1:261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  <c r="IW248" s="74"/>
      <c r="IX248" s="74"/>
      <c r="IY248" s="74"/>
      <c r="IZ248" s="74"/>
      <c r="JA248" s="74"/>
    </row>
    <row r="249" spans="1:261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  <c r="IW249" s="74"/>
      <c r="IX249" s="74"/>
      <c r="IY249" s="74"/>
      <c r="IZ249" s="74"/>
      <c r="JA249" s="74"/>
    </row>
    <row r="250" spans="1:261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  <c r="IW250" s="74"/>
      <c r="IX250" s="74"/>
      <c r="IY250" s="74"/>
      <c r="IZ250" s="74"/>
      <c r="JA250" s="74"/>
    </row>
    <row r="251" spans="1:261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  <c r="IW251" s="74"/>
      <c r="IX251" s="74"/>
      <c r="IY251" s="74"/>
      <c r="IZ251" s="74"/>
      <c r="JA251" s="74"/>
    </row>
    <row r="252" spans="1:261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  <c r="IW252" s="74"/>
      <c r="IX252" s="74"/>
      <c r="IY252" s="74"/>
      <c r="IZ252" s="74"/>
      <c r="JA252" s="74"/>
    </row>
    <row r="253" spans="1:261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  <c r="IW253" s="74"/>
      <c r="IX253" s="74"/>
      <c r="IY253" s="74"/>
      <c r="IZ253" s="74"/>
      <c r="JA253" s="74"/>
    </row>
    <row r="254" spans="1:261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  <c r="IW254" s="74"/>
      <c r="IX254" s="74"/>
      <c r="IY254" s="74"/>
      <c r="IZ254" s="74"/>
      <c r="JA254" s="74"/>
    </row>
    <row r="255" spans="1:261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  <c r="IW255" s="74"/>
      <c r="IX255" s="74"/>
      <c r="IY255" s="74"/>
      <c r="IZ255" s="74"/>
      <c r="JA255" s="74"/>
    </row>
    <row r="256" spans="1:261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  <c r="IW256" s="74"/>
      <c r="IX256" s="74"/>
      <c r="IY256" s="74"/>
      <c r="IZ256" s="74"/>
      <c r="JA256" s="74"/>
    </row>
    <row r="257" spans="1:261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  <c r="IW257" s="74"/>
      <c r="IX257" s="74"/>
      <c r="IY257" s="74"/>
      <c r="IZ257" s="74"/>
      <c r="JA257" s="74"/>
    </row>
    <row r="258" spans="1:261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  <c r="IW258" s="74"/>
      <c r="IX258" s="74"/>
      <c r="IY258" s="74"/>
      <c r="IZ258" s="74"/>
      <c r="JA258" s="74"/>
    </row>
    <row r="259" spans="1:261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  <c r="IW259" s="74"/>
      <c r="IX259" s="74"/>
      <c r="IY259" s="74"/>
      <c r="IZ259" s="74"/>
      <c r="JA259" s="74"/>
    </row>
    <row r="260" spans="1:261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  <c r="IW260" s="74"/>
      <c r="IX260" s="74"/>
      <c r="IY260" s="74"/>
      <c r="IZ260" s="74"/>
      <c r="JA260" s="74"/>
    </row>
    <row r="261" spans="1:261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  <c r="IW261" s="74"/>
      <c r="IX261" s="74"/>
      <c r="IY261" s="74"/>
      <c r="IZ261" s="74"/>
      <c r="JA261" s="74"/>
    </row>
    <row r="262" spans="1:261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  <c r="IW262" s="74"/>
      <c r="IX262" s="74"/>
      <c r="IY262" s="74"/>
      <c r="IZ262" s="74"/>
      <c r="JA262" s="74"/>
    </row>
    <row r="263" spans="1:261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  <c r="IW263" s="74"/>
      <c r="IX263" s="74"/>
      <c r="IY263" s="74"/>
      <c r="IZ263" s="74"/>
      <c r="JA263" s="74"/>
    </row>
    <row r="264" spans="1:261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  <c r="IW264" s="74"/>
      <c r="IX264" s="74"/>
      <c r="IY264" s="74"/>
      <c r="IZ264" s="74"/>
      <c r="JA264" s="74"/>
    </row>
    <row r="265" spans="1:261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  <c r="IW265" s="74"/>
      <c r="IX265" s="74"/>
      <c r="IY265" s="74"/>
      <c r="IZ265" s="74"/>
      <c r="JA265" s="74"/>
    </row>
    <row r="266" spans="1:261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  <c r="IW266" s="74"/>
      <c r="IX266" s="74"/>
      <c r="IY266" s="74"/>
      <c r="IZ266" s="74"/>
      <c r="JA266" s="74"/>
    </row>
    <row r="267" spans="1:261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  <c r="IW267" s="74"/>
      <c r="IX267" s="74"/>
      <c r="IY267" s="74"/>
      <c r="IZ267" s="74"/>
      <c r="JA267" s="74"/>
    </row>
    <row r="268" spans="1:261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  <c r="IW268" s="74"/>
      <c r="IX268" s="74"/>
      <c r="IY268" s="74"/>
      <c r="IZ268" s="74"/>
      <c r="JA268" s="74"/>
    </row>
    <row r="269" spans="1:261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  <c r="IW269" s="74"/>
      <c r="IX269" s="74"/>
      <c r="IY269" s="74"/>
      <c r="IZ269" s="74"/>
      <c r="JA269" s="74"/>
    </row>
    <row r="270" spans="1:261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  <c r="IW270" s="74"/>
      <c r="IX270" s="74"/>
      <c r="IY270" s="74"/>
      <c r="IZ270" s="74"/>
      <c r="JA270" s="74"/>
    </row>
    <row r="271" spans="1:261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  <c r="IW271" s="74"/>
      <c r="IX271" s="74"/>
      <c r="IY271" s="74"/>
      <c r="IZ271" s="74"/>
      <c r="JA271" s="74"/>
    </row>
    <row r="272" spans="1:261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  <c r="IW272" s="74"/>
      <c r="IX272" s="74"/>
      <c r="IY272" s="74"/>
      <c r="IZ272" s="74"/>
      <c r="JA272" s="74"/>
    </row>
    <row r="273" spans="1:261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  <c r="IW273" s="74"/>
      <c r="IX273" s="74"/>
      <c r="IY273" s="74"/>
      <c r="IZ273" s="74"/>
      <c r="JA273" s="74"/>
    </row>
    <row r="274" spans="1:261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  <c r="IW274" s="74"/>
      <c r="IX274" s="74"/>
      <c r="IY274" s="74"/>
      <c r="IZ274" s="74"/>
      <c r="JA274" s="74"/>
    </row>
    <row r="275" spans="1:261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  <c r="IW275" s="74"/>
      <c r="IX275" s="74"/>
      <c r="IY275" s="74"/>
      <c r="IZ275" s="74"/>
      <c r="JA275" s="74"/>
    </row>
    <row r="276" spans="1:261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  <c r="IW276" s="74"/>
      <c r="IX276" s="74"/>
      <c r="IY276" s="74"/>
      <c r="IZ276" s="74"/>
      <c r="JA276" s="74"/>
    </row>
    <row r="277" spans="1:261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  <c r="IW277" s="74"/>
      <c r="IX277" s="74"/>
      <c r="IY277" s="74"/>
      <c r="IZ277" s="74"/>
      <c r="JA277" s="74"/>
    </row>
    <row r="278" spans="1:261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  <c r="IW278" s="74"/>
      <c r="IX278" s="74"/>
      <c r="IY278" s="74"/>
      <c r="IZ278" s="74"/>
      <c r="JA278" s="74"/>
    </row>
    <row r="279" spans="1:261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  <c r="IW279" s="74"/>
      <c r="IX279" s="74"/>
      <c r="IY279" s="74"/>
      <c r="IZ279" s="74"/>
      <c r="JA279" s="74"/>
    </row>
    <row r="280" spans="1:261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  <c r="IW280" s="74"/>
      <c r="IX280" s="74"/>
      <c r="IY280" s="74"/>
      <c r="IZ280" s="74"/>
      <c r="JA280" s="74"/>
    </row>
    <row r="281" spans="1:261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  <c r="IW281" s="74"/>
      <c r="IX281" s="74"/>
      <c r="IY281" s="74"/>
      <c r="IZ281" s="74"/>
      <c r="JA281" s="74"/>
    </row>
    <row r="282" spans="1:261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  <c r="IW282" s="74"/>
      <c r="IX282" s="74"/>
      <c r="IY282" s="74"/>
      <c r="IZ282" s="74"/>
      <c r="JA282" s="74"/>
    </row>
    <row r="283" spans="1:261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  <c r="IW283" s="74"/>
      <c r="IX283" s="74"/>
      <c r="IY283" s="74"/>
      <c r="IZ283" s="74"/>
      <c r="JA283" s="74"/>
    </row>
    <row r="284" spans="1:261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  <c r="IW284" s="74"/>
      <c r="IX284" s="74"/>
      <c r="IY284" s="74"/>
      <c r="IZ284" s="74"/>
      <c r="JA284" s="74"/>
    </row>
    <row r="285" spans="1:261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  <c r="IW285" s="74"/>
      <c r="IX285" s="74"/>
      <c r="IY285" s="74"/>
      <c r="IZ285" s="74"/>
      <c r="JA285" s="74"/>
    </row>
    <row r="286" spans="1:261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  <c r="IW286" s="74"/>
      <c r="IX286" s="74"/>
      <c r="IY286" s="74"/>
      <c r="IZ286" s="74"/>
      <c r="JA286" s="74"/>
    </row>
    <row r="287" spans="1:261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  <c r="IW287" s="74"/>
      <c r="IX287" s="74"/>
      <c r="IY287" s="74"/>
      <c r="IZ287" s="74"/>
      <c r="JA287" s="74"/>
    </row>
    <row r="288" spans="1:261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  <c r="IW288" s="74"/>
      <c r="IX288" s="74"/>
      <c r="IY288" s="74"/>
      <c r="IZ288" s="74"/>
      <c r="JA288" s="74"/>
    </row>
    <row r="289" spans="1:261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  <c r="IW289" s="74"/>
      <c r="IX289" s="74"/>
      <c r="IY289" s="74"/>
      <c r="IZ289" s="74"/>
      <c r="JA289" s="74"/>
    </row>
    <row r="290" spans="1:261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  <c r="IW290" s="74"/>
      <c r="IX290" s="74"/>
      <c r="IY290" s="74"/>
      <c r="IZ290" s="74"/>
      <c r="JA290" s="74"/>
    </row>
    <row r="291" spans="1:261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  <c r="IW291" s="74"/>
      <c r="IX291" s="74"/>
      <c r="IY291" s="74"/>
      <c r="IZ291" s="74"/>
      <c r="JA291" s="74"/>
    </row>
    <row r="292" spans="1:261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  <c r="IW292" s="74"/>
      <c r="IX292" s="74"/>
      <c r="IY292" s="74"/>
      <c r="IZ292" s="74"/>
      <c r="JA292" s="74"/>
    </row>
    <row r="293" spans="1:261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  <c r="IW293" s="74"/>
      <c r="IX293" s="74"/>
      <c r="IY293" s="74"/>
      <c r="IZ293" s="74"/>
      <c r="JA293" s="74"/>
    </row>
    <row r="294" spans="1:261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  <c r="IW294" s="74"/>
      <c r="IX294" s="74"/>
      <c r="IY294" s="74"/>
      <c r="IZ294" s="74"/>
      <c r="JA294" s="74"/>
    </row>
    <row r="295" spans="1:261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  <c r="IW295" s="74"/>
      <c r="IX295" s="74"/>
      <c r="IY295" s="74"/>
      <c r="IZ295" s="74"/>
      <c r="JA295" s="74"/>
    </row>
    <row r="296" spans="1:261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  <c r="IW296" s="74"/>
      <c r="IX296" s="74"/>
      <c r="IY296" s="74"/>
      <c r="IZ296" s="74"/>
      <c r="JA296" s="74"/>
    </row>
    <row r="297" spans="1:261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  <c r="IW297" s="74"/>
      <c r="IX297" s="74"/>
      <c r="IY297" s="74"/>
      <c r="IZ297" s="74"/>
      <c r="JA297" s="74"/>
    </row>
    <row r="298" spans="1:261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  <c r="IW298" s="74"/>
      <c r="IX298" s="74"/>
      <c r="IY298" s="74"/>
      <c r="IZ298" s="74"/>
      <c r="JA298" s="74"/>
    </row>
    <row r="299" spans="1:261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  <c r="IW299" s="74"/>
      <c r="IX299" s="74"/>
      <c r="IY299" s="74"/>
      <c r="IZ299" s="74"/>
      <c r="JA299" s="74"/>
    </row>
    <row r="300" spans="1:261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  <c r="IW300" s="74"/>
      <c r="IX300" s="74"/>
      <c r="IY300" s="74"/>
      <c r="IZ300" s="74"/>
      <c r="JA300" s="74"/>
    </row>
    <row r="301" spans="1:261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  <c r="IW301" s="74"/>
      <c r="IX301" s="74"/>
      <c r="IY301" s="74"/>
      <c r="IZ301" s="74"/>
      <c r="JA301" s="74"/>
    </row>
    <row r="302" spans="1:261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  <c r="IW302" s="74"/>
      <c r="IX302" s="74"/>
      <c r="IY302" s="74"/>
      <c r="IZ302" s="74"/>
      <c r="JA302" s="74"/>
    </row>
    <row r="303" spans="1:261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  <c r="IW303" s="74"/>
      <c r="IX303" s="74"/>
      <c r="IY303" s="74"/>
      <c r="IZ303" s="74"/>
      <c r="JA303" s="74"/>
    </row>
    <row r="304" spans="1:261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  <c r="IW304" s="74"/>
      <c r="IX304" s="74"/>
      <c r="IY304" s="74"/>
      <c r="IZ304" s="74"/>
      <c r="JA304" s="74"/>
    </row>
    <row r="305" spans="1:261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  <c r="IW305" s="74"/>
      <c r="IX305" s="74"/>
      <c r="IY305" s="74"/>
      <c r="IZ305" s="74"/>
      <c r="JA305" s="74"/>
    </row>
    <row r="306" spans="1:261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  <c r="IW306" s="74"/>
      <c r="IX306" s="74"/>
      <c r="IY306" s="74"/>
      <c r="IZ306" s="74"/>
      <c r="JA306" s="74"/>
    </row>
    <row r="307" spans="1:261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  <c r="IW307" s="74"/>
      <c r="IX307" s="74"/>
      <c r="IY307" s="74"/>
      <c r="IZ307" s="74"/>
      <c r="JA307" s="74"/>
    </row>
    <row r="308" spans="1:261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  <c r="IW308" s="74"/>
      <c r="IX308" s="74"/>
      <c r="IY308" s="74"/>
      <c r="IZ308" s="74"/>
      <c r="JA308" s="74"/>
    </row>
    <row r="309" spans="1:261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  <c r="IW309" s="74"/>
      <c r="IX309" s="74"/>
      <c r="IY309" s="74"/>
      <c r="IZ309" s="74"/>
      <c r="JA309" s="74"/>
    </row>
    <row r="310" spans="1:261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  <c r="IW310" s="74"/>
      <c r="IX310" s="74"/>
      <c r="IY310" s="74"/>
      <c r="IZ310" s="74"/>
      <c r="JA310" s="74"/>
    </row>
    <row r="311" spans="1:261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  <c r="IW311" s="74"/>
      <c r="IX311" s="74"/>
      <c r="IY311" s="74"/>
      <c r="IZ311" s="74"/>
      <c r="JA311" s="74"/>
    </row>
    <row r="312" spans="1:261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  <c r="IW312" s="74"/>
      <c r="IX312" s="74"/>
      <c r="IY312" s="74"/>
      <c r="IZ312" s="74"/>
      <c r="JA312" s="74"/>
    </row>
    <row r="313" spans="1:261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  <c r="IW313" s="74"/>
      <c r="IX313" s="74"/>
      <c r="IY313" s="74"/>
      <c r="IZ313" s="74"/>
      <c r="JA313" s="74"/>
    </row>
    <row r="314" spans="1:261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  <c r="IW314" s="74"/>
      <c r="IX314" s="74"/>
      <c r="IY314" s="74"/>
      <c r="IZ314" s="74"/>
      <c r="JA314" s="74"/>
    </row>
    <row r="315" spans="1:261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  <c r="IW315" s="74"/>
      <c r="IX315" s="74"/>
      <c r="IY315" s="74"/>
      <c r="IZ315" s="74"/>
      <c r="JA315" s="74"/>
    </row>
    <row r="316" spans="1:261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  <c r="IW316" s="74"/>
      <c r="IX316" s="74"/>
      <c r="IY316" s="74"/>
      <c r="IZ316" s="74"/>
      <c r="JA316" s="74"/>
    </row>
    <row r="317" spans="1:261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  <c r="IW317" s="74"/>
      <c r="IX317" s="74"/>
      <c r="IY317" s="74"/>
      <c r="IZ317" s="74"/>
      <c r="JA317" s="74"/>
    </row>
    <row r="318" spans="1:261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  <c r="IW318" s="74"/>
      <c r="IX318" s="74"/>
      <c r="IY318" s="74"/>
      <c r="IZ318" s="74"/>
      <c r="JA318" s="74"/>
    </row>
    <row r="319" spans="1:261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  <c r="IW319" s="74"/>
      <c r="IX319" s="74"/>
      <c r="IY319" s="74"/>
      <c r="IZ319" s="74"/>
      <c r="JA319" s="74"/>
    </row>
    <row r="320" spans="1:261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  <c r="IW320" s="74"/>
      <c r="IX320" s="74"/>
      <c r="IY320" s="74"/>
      <c r="IZ320" s="74"/>
      <c r="JA320" s="74"/>
    </row>
    <row r="321" spans="1:261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  <c r="IW321" s="74"/>
      <c r="IX321" s="74"/>
      <c r="IY321" s="74"/>
      <c r="IZ321" s="74"/>
      <c r="JA321" s="74"/>
    </row>
    <row r="322" spans="1:261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  <c r="IW322" s="74"/>
      <c r="IX322" s="74"/>
      <c r="IY322" s="74"/>
      <c r="IZ322" s="74"/>
      <c r="JA322" s="74"/>
    </row>
    <row r="323" spans="1:261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  <c r="IW323" s="74"/>
      <c r="IX323" s="74"/>
      <c r="IY323" s="74"/>
      <c r="IZ323" s="74"/>
      <c r="JA323" s="74"/>
    </row>
    <row r="324" spans="1:261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  <c r="IW324" s="74"/>
      <c r="IX324" s="74"/>
      <c r="IY324" s="74"/>
      <c r="IZ324" s="74"/>
      <c r="JA324" s="74"/>
    </row>
    <row r="325" spans="1:261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  <c r="IW325" s="74"/>
      <c r="IX325" s="74"/>
      <c r="IY325" s="74"/>
      <c r="IZ325" s="74"/>
      <c r="JA325" s="74"/>
    </row>
    <row r="326" spans="1:261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  <c r="IW326" s="74"/>
      <c r="IX326" s="74"/>
      <c r="IY326" s="74"/>
      <c r="IZ326" s="74"/>
      <c r="JA326" s="74"/>
    </row>
    <row r="327" spans="1:261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  <c r="IW327" s="74"/>
      <c r="IX327" s="74"/>
      <c r="IY327" s="74"/>
      <c r="IZ327" s="74"/>
      <c r="JA327" s="74"/>
    </row>
    <row r="328" spans="1:261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  <c r="IW328" s="74"/>
      <c r="IX328" s="74"/>
      <c r="IY328" s="74"/>
      <c r="IZ328" s="74"/>
      <c r="JA328" s="74"/>
    </row>
    <row r="329" spans="1:261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  <c r="IW329" s="74"/>
      <c r="IX329" s="74"/>
      <c r="IY329" s="74"/>
      <c r="IZ329" s="74"/>
      <c r="JA329" s="74"/>
    </row>
    <row r="330" spans="1:261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  <c r="IW330" s="74"/>
      <c r="IX330" s="74"/>
      <c r="IY330" s="74"/>
      <c r="IZ330" s="74"/>
      <c r="JA330" s="74"/>
    </row>
    <row r="331" spans="1:261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  <c r="IW331" s="74"/>
      <c r="IX331" s="74"/>
      <c r="IY331" s="74"/>
      <c r="IZ331" s="74"/>
      <c r="JA331" s="74"/>
    </row>
    <row r="332" spans="1:261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  <c r="IW332" s="74"/>
      <c r="IX332" s="74"/>
      <c r="IY332" s="74"/>
      <c r="IZ332" s="74"/>
      <c r="JA332" s="74"/>
    </row>
    <row r="333" spans="1:261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  <c r="IW333" s="74"/>
      <c r="IX333" s="74"/>
      <c r="IY333" s="74"/>
      <c r="IZ333" s="74"/>
      <c r="JA333" s="74"/>
    </row>
    <row r="334" spans="1:261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  <c r="IW334" s="74"/>
      <c r="IX334" s="74"/>
      <c r="IY334" s="74"/>
      <c r="IZ334" s="74"/>
      <c r="JA334" s="74"/>
    </row>
    <row r="335" spans="1:261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  <c r="IW335" s="74"/>
      <c r="IX335" s="74"/>
      <c r="IY335" s="74"/>
      <c r="IZ335" s="74"/>
      <c r="JA335" s="74"/>
    </row>
    <row r="336" spans="1:261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  <c r="IW336" s="74"/>
      <c r="IX336" s="74"/>
      <c r="IY336" s="74"/>
      <c r="IZ336" s="74"/>
      <c r="JA336" s="74"/>
    </row>
    <row r="337" spans="1:261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  <c r="IW337" s="74"/>
      <c r="IX337" s="74"/>
      <c r="IY337" s="74"/>
      <c r="IZ337" s="74"/>
      <c r="JA337" s="74"/>
    </row>
    <row r="338" spans="1:261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  <c r="IW338" s="74"/>
      <c r="IX338" s="74"/>
      <c r="IY338" s="74"/>
      <c r="IZ338" s="74"/>
      <c r="JA338" s="74"/>
    </row>
    <row r="339" spans="1:261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  <c r="IW339" s="74"/>
      <c r="IX339" s="74"/>
      <c r="IY339" s="74"/>
      <c r="IZ339" s="74"/>
      <c r="JA339" s="74"/>
    </row>
    <row r="340" spans="1:261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  <c r="IW340" s="74"/>
      <c r="IX340" s="74"/>
      <c r="IY340" s="74"/>
      <c r="IZ340" s="74"/>
      <c r="JA340" s="74"/>
    </row>
    <row r="341" spans="1:261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  <c r="IW341" s="74"/>
      <c r="IX341" s="74"/>
      <c r="IY341" s="74"/>
      <c r="IZ341" s="74"/>
      <c r="JA341" s="74"/>
    </row>
    <row r="342" spans="1:261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  <c r="IW342" s="74"/>
      <c r="IX342" s="74"/>
      <c r="IY342" s="74"/>
      <c r="IZ342" s="74"/>
      <c r="JA342" s="74"/>
    </row>
    <row r="343" spans="1:261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  <c r="IW343" s="74"/>
      <c r="IX343" s="74"/>
      <c r="IY343" s="74"/>
      <c r="IZ343" s="74"/>
      <c r="JA343" s="74"/>
    </row>
    <row r="344" spans="1:261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  <c r="IW344" s="74"/>
      <c r="IX344" s="74"/>
      <c r="IY344" s="74"/>
      <c r="IZ344" s="74"/>
      <c r="JA344" s="74"/>
    </row>
    <row r="345" spans="1:261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  <c r="IW345" s="74"/>
      <c r="IX345" s="74"/>
      <c r="IY345" s="74"/>
      <c r="IZ345" s="74"/>
      <c r="JA345" s="74"/>
    </row>
    <row r="346" spans="1:261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  <c r="IW346" s="74"/>
      <c r="IX346" s="74"/>
      <c r="IY346" s="74"/>
      <c r="IZ346" s="74"/>
      <c r="JA346" s="74"/>
    </row>
    <row r="347" spans="1:261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  <c r="IW347" s="74"/>
      <c r="IX347" s="74"/>
      <c r="IY347" s="74"/>
      <c r="IZ347" s="74"/>
      <c r="JA347" s="74"/>
    </row>
    <row r="348" spans="1:261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  <c r="IW348" s="74"/>
      <c r="IX348" s="74"/>
      <c r="IY348" s="74"/>
      <c r="IZ348" s="74"/>
      <c r="JA348" s="74"/>
    </row>
    <row r="349" spans="1:261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  <c r="IW349" s="74"/>
      <c r="IX349" s="74"/>
      <c r="IY349" s="74"/>
      <c r="IZ349" s="74"/>
      <c r="JA349" s="74"/>
    </row>
    <row r="350" spans="1:261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  <c r="IW350" s="74"/>
      <c r="IX350" s="74"/>
      <c r="IY350" s="74"/>
      <c r="IZ350" s="74"/>
      <c r="JA350" s="74"/>
    </row>
    <row r="351" spans="1:261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  <c r="IW351" s="74"/>
      <c r="IX351" s="74"/>
      <c r="IY351" s="74"/>
      <c r="IZ351" s="74"/>
      <c r="JA351" s="74"/>
    </row>
    <row r="352" spans="1:261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  <c r="IW352" s="74"/>
      <c r="IX352" s="74"/>
      <c r="IY352" s="74"/>
      <c r="IZ352" s="74"/>
      <c r="JA352" s="74"/>
    </row>
    <row r="353" spans="1:261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  <c r="IW353" s="74"/>
      <c r="IX353" s="74"/>
      <c r="IY353" s="74"/>
      <c r="IZ353" s="74"/>
      <c r="JA353" s="74"/>
    </row>
    <row r="354" spans="1:261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  <c r="IW354" s="74"/>
      <c r="IX354" s="74"/>
      <c r="IY354" s="74"/>
      <c r="IZ354" s="74"/>
      <c r="JA354" s="74"/>
    </row>
    <row r="355" spans="1:261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  <c r="IW355" s="74"/>
      <c r="IX355" s="74"/>
      <c r="IY355" s="74"/>
      <c r="IZ355" s="74"/>
      <c r="JA355" s="74"/>
    </row>
    <row r="356" spans="1:261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  <c r="IW356" s="74"/>
      <c r="IX356" s="74"/>
      <c r="IY356" s="74"/>
      <c r="IZ356" s="74"/>
      <c r="JA356" s="74"/>
    </row>
    <row r="357" spans="1:261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  <c r="IW357" s="74"/>
      <c r="IX357" s="74"/>
      <c r="IY357" s="74"/>
      <c r="IZ357" s="74"/>
      <c r="JA357" s="74"/>
    </row>
    <row r="358" spans="1:261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  <c r="IW358" s="74"/>
      <c r="IX358" s="74"/>
      <c r="IY358" s="74"/>
      <c r="IZ358" s="74"/>
      <c r="JA358" s="74"/>
    </row>
    <row r="359" spans="1:261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  <c r="IW359" s="74"/>
      <c r="IX359" s="74"/>
      <c r="IY359" s="74"/>
      <c r="IZ359" s="74"/>
      <c r="JA359" s="74"/>
    </row>
    <row r="360" spans="1:261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  <c r="IW360" s="74"/>
      <c r="IX360" s="74"/>
      <c r="IY360" s="74"/>
      <c r="IZ360" s="74"/>
      <c r="JA360" s="74"/>
    </row>
    <row r="361" spans="1:261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  <c r="IW361" s="74"/>
      <c r="IX361" s="74"/>
      <c r="IY361" s="74"/>
      <c r="IZ361" s="74"/>
      <c r="JA361" s="74"/>
    </row>
    <row r="362" spans="1:261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  <c r="IW362" s="74"/>
      <c r="IX362" s="74"/>
      <c r="IY362" s="74"/>
      <c r="IZ362" s="74"/>
      <c r="JA362" s="74"/>
    </row>
    <row r="363" spans="1:261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  <c r="IW363" s="74"/>
      <c r="IX363" s="74"/>
      <c r="IY363" s="74"/>
      <c r="IZ363" s="74"/>
      <c r="JA363" s="74"/>
    </row>
    <row r="364" spans="1:261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  <c r="IW364" s="74"/>
      <c r="IX364" s="74"/>
      <c r="IY364" s="74"/>
      <c r="IZ364" s="74"/>
      <c r="JA364" s="74"/>
    </row>
    <row r="365" spans="1:261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  <c r="IW365" s="74"/>
      <c r="IX365" s="74"/>
      <c r="IY365" s="74"/>
      <c r="IZ365" s="74"/>
      <c r="JA365" s="74"/>
    </row>
    <row r="366" spans="1:261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  <c r="IW366" s="74"/>
      <c r="IX366" s="74"/>
      <c r="IY366" s="74"/>
      <c r="IZ366" s="74"/>
      <c r="JA366" s="74"/>
    </row>
    <row r="367" spans="1:261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  <c r="IW367" s="74"/>
      <c r="IX367" s="74"/>
      <c r="IY367" s="74"/>
      <c r="IZ367" s="74"/>
      <c r="JA367" s="74"/>
    </row>
    <row r="368" spans="1:261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  <c r="IW368" s="74"/>
      <c r="IX368" s="74"/>
      <c r="IY368" s="74"/>
      <c r="IZ368" s="74"/>
      <c r="JA368" s="74"/>
    </row>
    <row r="369" spans="1:261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  <c r="IW369" s="74"/>
      <c r="IX369" s="74"/>
      <c r="IY369" s="74"/>
      <c r="IZ369" s="74"/>
      <c r="JA369" s="74"/>
    </row>
    <row r="370" spans="1:261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  <c r="IW370" s="74"/>
      <c r="IX370" s="74"/>
      <c r="IY370" s="74"/>
      <c r="IZ370" s="74"/>
      <c r="JA370" s="74"/>
    </row>
    <row r="371" spans="1:261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  <c r="IW371" s="74"/>
      <c r="IX371" s="74"/>
      <c r="IY371" s="74"/>
      <c r="IZ371" s="74"/>
      <c r="JA371" s="74"/>
    </row>
    <row r="372" spans="1:261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  <c r="IW372" s="74"/>
      <c r="IX372" s="74"/>
      <c r="IY372" s="74"/>
      <c r="IZ372" s="74"/>
      <c r="JA372" s="74"/>
    </row>
    <row r="373" spans="1:261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  <c r="IW373" s="74"/>
      <c r="IX373" s="74"/>
      <c r="IY373" s="74"/>
      <c r="IZ373" s="74"/>
      <c r="JA373" s="74"/>
    </row>
    <row r="374" spans="1:261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  <c r="IW374" s="74"/>
      <c r="IX374" s="74"/>
      <c r="IY374" s="74"/>
      <c r="IZ374" s="74"/>
      <c r="JA374" s="74"/>
    </row>
    <row r="375" spans="1:261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  <c r="IW375" s="74"/>
      <c r="IX375" s="74"/>
      <c r="IY375" s="74"/>
      <c r="IZ375" s="74"/>
      <c r="JA375" s="74"/>
    </row>
    <row r="376" spans="1:261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  <c r="IW376" s="74"/>
      <c r="IX376" s="74"/>
      <c r="IY376" s="74"/>
      <c r="IZ376" s="74"/>
      <c r="JA376" s="74"/>
    </row>
    <row r="377" spans="1:261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  <c r="IW377" s="74"/>
      <c r="IX377" s="74"/>
      <c r="IY377" s="74"/>
      <c r="IZ377" s="74"/>
      <c r="JA377" s="74"/>
    </row>
    <row r="378" spans="1:261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  <c r="IW378" s="74"/>
      <c r="IX378" s="74"/>
      <c r="IY378" s="74"/>
      <c r="IZ378" s="74"/>
      <c r="JA378" s="74"/>
    </row>
    <row r="379" spans="1:261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  <c r="IW379" s="74"/>
      <c r="IX379" s="74"/>
      <c r="IY379" s="74"/>
      <c r="IZ379" s="74"/>
      <c r="JA379" s="74"/>
    </row>
    <row r="380" spans="1:261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  <c r="IW380" s="74"/>
      <c r="IX380" s="74"/>
      <c r="IY380" s="74"/>
      <c r="IZ380" s="74"/>
      <c r="JA380" s="74"/>
    </row>
    <row r="381" spans="1:261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  <c r="IW381" s="74"/>
      <c r="IX381" s="74"/>
      <c r="IY381" s="74"/>
      <c r="IZ381" s="74"/>
      <c r="JA381" s="74"/>
    </row>
    <row r="382" spans="1:261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  <c r="IW382" s="74"/>
      <c r="IX382" s="74"/>
      <c r="IY382" s="74"/>
      <c r="IZ382" s="74"/>
      <c r="JA382" s="74"/>
    </row>
    <row r="383" spans="1:261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  <c r="IW383" s="74"/>
      <c r="IX383" s="74"/>
      <c r="IY383" s="74"/>
      <c r="IZ383" s="74"/>
      <c r="JA383" s="74"/>
    </row>
    <row r="384" spans="1:261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  <c r="IW384" s="74"/>
      <c r="IX384" s="74"/>
      <c r="IY384" s="74"/>
      <c r="IZ384" s="74"/>
      <c r="JA384" s="74"/>
    </row>
    <row r="385" spans="1:261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  <c r="IW385" s="74"/>
      <c r="IX385" s="74"/>
      <c r="IY385" s="74"/>
      <c r="IZ385" s="74"/>
      <c r="JA385" s="74"/>
    </row>
    <row r="386" spans="1:261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  <c r="IW386" s="74"/>
      <c r="IX386" s="74"/>
      <c r="IY386" s="74"/>
      <c r="IZ386" s="74"/>
      <c r="JA386" s="74"/>
    </row>
    <row r="387" spans="1:261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  <c r="IW387" s="74"/>
      <c r="IX387" s="74"/>
      <c r="IY387" s="74"/>
      <c r="IZ387" s="74"/>
      <c r="JA387" s="74"/>
    </row>
    <row r="388" spans="1:261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  <c r="IW388" s="74"/>
      <c r="IX388" s="74"/>
      <c r="IY388" s="74"/>
      <c r="IZ388" s="74"/>
      <c r="JA388" s="74"/>
    </row>
    <row r="389" spans="1:261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  <c r="IW389" s="74"/>
      <c r="IX389" s="74"/>
      <c r="IY389" s="74"/>
      <c r="IZ389" s="74"/>
      <c r="JA389" s="74"/>
    </row>
    <row r="390" spans="1:261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  <c r="IW390" s="74"/>
      <c r="IX390" s="74"/>
      <c r="IY390" s="74"/>
      <c r="IZ390" s="74"/>
      <c r="JA390" s="74"/>
    </row>
    <row r="391" spans="1:261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  <c r="IW391" s="74"/>
      <c r="IX391" s="74"/>
      <c r="IY391" s="74"/>
      <c r="IZ391" s="74"/>
      <c r="JA391" s="74"/>
    </row>
    <row r="392" spans="1:261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  <c r="IW392" s="74"/>
      <c r="IX392" s="74"/>
      <c r="IY392" s="74"/>
      <c r="IZ392" s="74"/>
      <c r="JA392" s="74"/>
    </row>
    <row r="393" spans="1:261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  <c r="IW393" s="74"/>
      <c r="IX393" s="74"/>
      <c r="IY393" s="74"/>
      <c r="IZ393" s="74"/>
      <c r="JA393" s="74"/>
    </row>
    <row r="394" spans="1:261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  <c r="IW394" s="74"/>
      <c r="IX394" s="74"/>
      <c r="IY394" s="74"/>
      <c r="IZ394" s="74"/>
      <c r="JA394" s="74"/>
    </row>
    <row r="395" spans="1:261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  <c r="IW395" s="74"/>
      <c r="IX395" s="74"/>
      <c r="IY395" s="74"/>
      <c r="IZ395" s="74"/>
      <c r="JA395" s="74"/>
    </row>
    <row r="396" spans="1:261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  <c r="IW396" s="74"/>
      <c r="IX396" s="74"/>
      <c r="IY396" s="74"/>
      <c r="IZ396" s="74"/>
      <c r="JA396" s="74"/>
    </row>
    <row r="397" spans="1:261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  <c r="IW397" s="74"/>
      <c r="IX397" s="74"/>
      <c r="IY397" s="74"/>
      <c r="IZ397" s="74"/>
      <c r="JA397" s="74"/>
    </row>
    <row r="398" spans="1:261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  <c r="IW398" s="74"/>
      <c r="IX398" s="74"/>
      <c r="IY398" s="74"/>
      <c r="IZ398" s="74"/>
      <c r="JA398" s="74"/>
    </row>
    <row r="399" spans="1:261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  <c r="IW399" s="74"/>
      <c r="IX399" s="74"/>
      <c r="IY399" s="74"/>
      <c r="IZ399" s="74"/>
      <c r="JA399" s="74"/>
    </row>
    <row r="400" spans="1:261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  <c r="IW400" s="74"/>
      <c r="IX400" s="74"/>
      <c r="IY400" s="74"/>
      <c r="IZ400" s="74"/>
      <c r="JA400" s="74"/>
    </row>
    <row r="401" spans="1:261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  <c r="IW401" s="74"/>
      <c r="IX401" s="74"/>
      <c r="IY401" s="74"/>
      <c r="IZ401" s="74"/>
      <c r="JA401" s="74"/>
    </row>
    <row r="402" spans="1:261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  <c r="IW402" s="74"/>
      <c r="IX402" s="74"/>
      <c r="IY402" s="74"/>
      <c r="IZ402" s="74"/>
      <c r="JA402" s="74"/>
    </row>
    <row r="403" spans="1:261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  <c r="IW403" s="74"/>
      <c r="IX403" s="74"/>
      <c r="IY403" s="74"/>
      <c r="IZ403" s="74"/>
      <c r="JA403" s="74"/>
    </row>
    <row r="404" spans="1:261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  <c r="IW404" s="74"/>
      <c r="IX404" s="74"/>
      <c r="IY404" s="74"/>
      <c r="IZ404" s="74"/>
      <c r="JA404" s="74"/>
    </row>
    <row r="405" spans="1:261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  <c r="IW405" s="74"/>
      <c r="IX405" s="74"/>
      <c r="IY405" s="74"/>
      <c r="IZ405" s="74"/>
      <c r="JA405" s="74"/>
    </row>
    <row r="406" spans="1:261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  <c r="IW406" s="74"/>
      <c r="IX406" s="74"/>
      <c r="IY406" s="74"/>
      <c r="IZ406" s="74"/>
      <c r="JA406" s="74"/>
    </row>
    <row r="407" spans="1:261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  <c r="IW407" s="74"/>
      <c r="IX407" s="74"/>
      <c r="IY407" s="74"/>
      <c r="IZ407" s="74"/>
      <c r="JA407" s="74"/>
    </row>
    <row r="408" spans="1:261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  <c r="IW408" s="74"/>
      <c r="IX408" s="74"/>
      <c r="IY408" s="74"/>
      <c r="IZ408" s="74"/>
      <c r="JA408" s="74"/>
    </row>
    <row r="409" spans="1:261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  <c r="IW409" s="74"/>
      <c r="IX409" s="74"/>
      <c r="IY409" s="74"/>
      <c r="IZ409" s="74"/>
      <c r="JA409" s="74"/>
    </row>
    <row r="410" spans="1:261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  <c r="IW410" s="74"/>
      <c r="IX410" s="74"/>
      <c r="IY410" s="74"/>
      <c r="IZ410" s="74"/>
      <c r="JA410" s="74"/>
    </row>
    <row r="411" spans="1:261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  <c r="IW411" s="74"/>
      <c r="IX411" s="74"/>
      <c r="IY411" s="74"/>
      <c r="IZ411" s="74"/>
      <c r="JA411" s="74"/>
    </row>
    <row r="412" spans="1:261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  <c r="IW412" s="74"/>
      <c r="IX412" s="74"/>
      <c r="IY412" s="74"/>
      <c r="IZ412" s="74"/>
      <c r="JA412" s="74"/>
    </row>
    <row r="413" spans="1:261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  <c r="IW413" s="74"/>
      <c r="IX413" s="74"/>
      <c r="IY413" s="74"/>
      <c r="IZ413" s="74"/>
      <c r="JA413" s="74"/>
    </row>
    <row r="414" spans="1:261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  <c r="IW414" s="74"/>
      <c r="IX414" s="74"/>
      <c r="IY414" s="74"/>
      <c r="IZ414" s="74"/>
      <c r="JA414" s="74"/>
    </row>
    <row r="415" spans="1:261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  <c r="IW415" s="74"/>
      <c r="IX415" s="74"/>
      <c r="IY415" s="74"/>
      <c r="IZ415" s="74"/>
      <c r="JA415" s="74"/>
    </row>
    <row r="416" spans="1:261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  <c r="IW416" s="74"/>
      <c r="IX416" s="74"/>
      <c r="IY416" s="74"/>
      <c r="IZ416" s="74"/>
      <c r="JA416" s="74"/>
    </row>
    <row r="417" spans="1:261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  <c r="IW417" s="74"/>
      <c r="IX417" s="74"/>
      <c r="IY417" s="74"/>
      <c r="IZ417" s="74"/>
      <c r="JA417" s="74"/>
    </row>
    <row r="418" spans="1:261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  <c r="IW418" s="74"/>
      <c r="IX418" s="74"/>
      <c r="IY418" s="74"/>
      <c r="IZ418" s="74"/>
      <c r="JA418" s="74"/>
    </row>
    <row r="419" spans="1:261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  <c r="IW419" s="74"/>
      <c r="IX419" s="74"/>
      <c r="IY419" s="74"/>
      <c r="IZ419" s="74"/>
      <c r="JA419" s="74"/>
    </row>
    <row r="420" spans="1:261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  <c r="IW420" s="74"/>
      <c r="IX420" s="74"/>
      <c r="IY420" s="74"/>
      <c r="IZ420" s="74"/>
      <c r="JA420" s="74"/>
    </row>
    <row r="421" spans="1:261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  <c r="IW421" s="74"/>
      <c r="IX421" s="74"/>
      <c r="IY421" s="74"/>
      <c r="IZ421" s="74"/>
      <c r="JA421" s="74"/>
    </row>
    <row r="422" spans="1:261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  <c r="IW422" s="74"/>
      <c r="IX422" s="74"/>
      <c r="IY422" s="74"/>
      <c r="IZ422" s="74"/>
      <c r="JA422" s="74"/>
    </row>
    <row r="423" spans="1:261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  <c r="IW423" s="74"/>
      <c r="IX423" s="74"/>
      <c r="IY423" s="74"/>
      <c r="IZ423" s="74"/>
      <c r="JA423" s="74"/>
    </row>
    <row r="424" spans="1:261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  <c r="IW424" s="74"/>
      <c r="IX424" s="74"/>
      <c r="IY424" s="74"/>
      <c r="IZ424" s="74"/>
      <c r="JA424" s="74"/>
    </row>
    <row r="425" spans="1:261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  <c r="IW425" s="74"/>
      <c r="IX425" s="74"/>
      <c r="IY425" s="74"/>
      <c r="IZ425" s="74"/>
      <c r="JA425" s="74"/>
    </row>
    <row r="426" spans="1:261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  <c r="IW426" s="74"/>
      <c r="IX426" s="74"/>
      <c r="IY426" s="74"/>
      <c r="IZ426" s="74"/>
      <c r="JA426" s="74"/>
    </row>
    <row r="427" spans="1:261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  <c r="IW427" s="74"/>
      <c r="IX427" s="74"/>
      <c r="IY427" s="74"/>
      <c r="IZ427" s="74"/>
      <c r="JA427" s="74"/>
    </row>
    <row r="428" spans="1:261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  <c r="IW428" s="74"/>
      <c r="IX428" s="74"/>
      <c r="IY428" s="74"/>
      <c r="IZ428" s="74"/>
      <c r="JA428" s="74"/>
    </row>
    <row r="429" spans="1:261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  <c r="IW429" s="74"/>
      <c r="IX429" s="74"/>
      <c r="IY429" s="74"/>
      <c r="IZ429" s="74"/>
      <c r="JA429" s="74"/>
    </row>
    <row r="430" spans="1:261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  <c r="IW430" s="74"/>
      <c r="IX430" s="74"/>
      <c r="IY430" s="74"/>
      <c r="IZ430" s="74"/>
      <c r="JA430" s="74"/>
    </row>
    <row r="431" spans="1:261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  <c r="IW431" s="74"/>
      <c r="IX431" s="74"/>
      <c r="IY431" s="74"/>
      <c r="IZ431" s="74"/>
      <c r="JA431" s="74"/>
    </row>
    <row r="432" spans="1:261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  <c r="IW432" s="74"/>
      <c r="IX432" s="74"/>
      <c r="IY432" s="74"/>
      <c r="IZ432" s="74"/>
      <c r="JA432" s="74"/>
    </row>
    <row r="433" spans="1:261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  <c r="IW433" s="74"/>
      <c r="IX433" s="74"/>
      <c r="IY433" s="74"/>
      <c r="IZ433" s="74"/>
      <c r="JA433" s="74"/>
    </row>
    <row r="434" spans="1:261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  <c r="IW434" s="74"/>
      <c r="IX434" s="74"/>
      <c r="IY434" s="74"/>
      <c r="IZ434" s="74"/>
      <c r="JA434" s="74"/>
    </row>
    <row r="435" spans="1:261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  <c r="IW435" s="74"/>
      <c r="IX435" s="74"/>
      <c r="IY435" s="74"/>
      <c r="IZ435" s="74"/>
      <c r="JA435" s="74"/>
    </row>
    <row r="436" spans="1:261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  <c r="IW436" s="74"/>
      <c r="IX436" s="74"/>
      <c r="IY436" s="74"/>
      <c r="IZ436" s="74"/>
      <c r="JA436" s="74"/>
    </row>
    <row r="437" spans="1:261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  <c r="IW437" s="74"/>
      <c r="IX437" s="74"/>
      <c r="IY437" s="74"/>
      <c r="IZ437" s="74"/>
      <c r="JA437" s="74"/>
    </row>
    <row r="438" spans="1:261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  <c r="IW438" s="74"/>
      <c r="IX438" s="74"/>
      <c r="IY438" s="74"/>
      <c r="IZ438" s="74"/>
      <c r="JA438" s="74"/>
    </row>
    <row r="439" spans="1:261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  <c r="IW439" s="74"/>
      <c r="IX439" s="74"/>
      <c r="IY439" s="74"/>
      <c r="IZ439" s="74"/>
      <c r="JA439" s="74"/>
    </row>
    <row r="440" spans="1:261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  <c r="IW440" s="74"/>
      <c r="IX440" s="74"/>
      <c r="IY440" s="74"/>
      <c r="IZ440" s="74"/>
      <c r="JA440" s="74"/>
    </row>
    <row r="441" spans="1:261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  <c r="IW441" s="74"/>
      <c r="IX441" s="74"/>
      <c r="IY441" s="74"/>
      <c r="IZ441" s="74"/>
      <c r="JA441" s="74"/>
    </row>
    <row r="442" spans="1:261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  <c r="IW442" s="74"/>
      <c r="IX442" s="74"/>
      <c r="IY442" s="74"/>
      <c r="IZ442" s="74"/>
      <c r="JA442" s="74"/>
    </row>
    <row r="443" spans="1:261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  <c r="IW443" s="74"/>
      <c r="IX443" s="74"/>
      <c r="IY443" s="74"/>
      <c r="IZ443" s="74"/>
      <c r="JA443" s="74"/>
    </row>
    <row r="444" spans="1:261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  <c r="IW444" s="74"/>
      <c r="IX444" s="74"/>
      <c r="IY444" s="74"/>
      <c r="IZ444" s="74"/>
      <c r="JA444" s="74"/>
    </row>
    <row r="445" spans="1:261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  <c r="IW445" s="74"/>
      <c r="IX445" s="74"/>
      <c r="IY445" s="74"/>
      <c r="IZ445" s="74"/>
      <c r="JA445" s="74"/>
    </row>
    <row r="446" spans="1:261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  <c r="IW446" s="74"/>
      <c r="IX446" s="74"/>
      <c r="IY446" s="74"/>
      <c r="IZ446" s="74"/>
      <c r="JA446" s="74"/>
    </row>
    <row r="447" spans="1:261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  <c r="IW447" s="74"/>
      <c r="IX447" s="74"/>
      <c r="IY447" s="74"/>
      <c r="IZ447" s="74"/>
      <c r="JA447" s="74"/>
    </row>
    <row r="448" spans="1:261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  <c r="IW448" s="74"/>
      <c r="IX448" s="74"/>
      <c r="IY448" s="74"/>
      <c r="IZ448" s="74"/>
      <c r="JA448" s="74"/>
    </row>
    <row r="449" spans="1:261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  <c r="IW449" s="74"/>
      <c r="IX449" s="74"/>
      <c r="IY449" s="74"/>
      <c r="IZ449" s="74"/>
      <c r="JA449" s="74"/>
    </row>
    <row r="450" spans="1:261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  <c r="IW450" s="74"/>
      <c r="IX450" s="74"/>
      <c r="IY450" s="74"/>
      <c r="IZ450" s="74"/>
      <c r="JA450" s="74"/>
    </row>
    <row r="451" spans="1:261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  <c r="IW451" s="74"/>
      <c r="IX451" s="74"/>
      <c r="IY451" s="74"/>
      <c r="IZ451" s="74"/>
      <c r="JA451" s="74"/>
    </row>
    <row r="452" spans="1:261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  <c r="IW452" s="74"/>
      <c r="IX452" s="74"/>
      <c r="IY452" s="74"/>
      <c r="IZ452" s="74"/>
      <c r="JA452" s="74"/>
    </row>
    <row r="453" spans="1:261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  <c r="IW453" s="74"/>
      <c r="IX453" s="74"/>
      <c r="IY453" s="74"/>
      <c r="IZ453" s="74"/>
      <c r="JA453" s="74"/>
    </row>
    <row r="454" spans="1:261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  <c r="IW454" s="74"/>
      <c r="IX454" s="74"/>
      <c r="IY454" s="74"/>
      <c r="IZ454" s="74"/>
      <c r="JA454" s="74"/>
    </row>
    <row r="455" spans="1:261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  <c r="IW455" s="74"/>
      <c r="IX455" s="74"/>
      <c r="IY455" s="74"/>
      <c r="IZ455" s="74"/>
      <c r="JA455" s="74"/>
    </row>
    <row r="456" spans="1:261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  <c r="IW456" s="74"/>
      <c r="IX456" s="74"/>
      <c r="IY456" s="74"/>
      <c r="IZ456" s="74"/>
      <c r="JA456" s="74"/>
    </row>
    <row r="457" spans="1:261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  <c r="IW457" s="74"/>
      <c r="IX457" s="74"/>
      <c r="IY457" s="74"/>
      <c r="IZ457" s="74"/>
      <c r="JA457" s="74"/>
    </row>
    <row r="458" spans="1:261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  <c r="IW458" s="74"/>
      <c r="IX458" s="74"/>
      <c r="IY458" s="74"/>
      <c r="IZ458" s="74"/>
      <c r="JA458" s="74"/>
    </row>
    <row r="459" spans="1:261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  <c r="IW459" s="74"/>
      <c r="IX459" s="74"/>
      <c r="IY459" s="74"/>
      <c r="IZ459" s="74"/>
      <c r="JA459" s="74"/>
    </row>
    <row r="460" spans="1:261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  <c r="IW460" s="74"/>
      <c r="IX460" s="74"/>
      <c r="IY460" s="74"/>
      <c r="IZ460" s="74"/>
      <c r="JA460" s="74"/>
    </row>
    <row r="461" spans="1:261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  <c r="IW461" s="74"/>
      <c r="IX461" s="74"/>
      <c r="IY461" s="74"/>
      <c r="IZ461" s="74"/>
      <c r="JA461" s="74"/>
    </row>
    <row r="462" spans="1:261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  <c r="IW462" s="74"/>
      <c r="IX462" s="74"/>
      <c r="IY462" s="74"/>
      <c r="IZ462" s="74"/>
      <c r="JA462" s="74"/>
    </row>
    <row r="463" spans="1:261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  <c r="IW463" s="74"/>
      <c r="IX463" s="74"/>
      <c r="IY463" s="74"/>
      <c r="IZ463" s="74"/>
      <c r="JA463" s="74"/>
    </row>
    <row r="464" spans="1:261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  <c r="IW464" s="74"/>
      <c r="IX464" s="74"/>
      <c r="IY464" s="74"/>
      <c r="IZ464" s="74"/>
      <c r="JA464" s="74"/>
    </row>
    <row r="465" spans="1:261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  <c r="IW465" s="74"/>
      <c r="IX465" s="74"/>
      <c r="IY465" s="74"/>
      <c r="IZ465" s="74"/>
      <c r="JA465" s="74"/>
    </row>
    <row r="466" spans="1:261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  <c r="IW466" s="74"/>
      <c r="IX466" s="74"/>
      <c r="IY466" s="74"/>
      <c r="IZ466" s="74"/>
      <c r="JA466" s="74"/>
    </row>
    <row r="467" spans="1:261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  <c r="IW467" s="74"/>
      <c r="IX467" s="74"/>
      <c r="IY467" s="74"/>
      <c r="IZ467" s="74"/>
      <c r="JA467" s="74"/>
    </row>
    <row r="468" spans="1:261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  <c r="IW468" s="74"/>
      <c r="IX468" s="74"/>
      <c r="IY468" s="74"/>
      <c r="IZ468" s="74"/>
      <c r="JA468" s="74"/>
    </row>
    <row r="469" spans="1:261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  <c r="IW469" s="74"/>
      <c r="IX469" s="74"/>
      <c r="IY469" s="74"/>
      <c r="IZ469" s="74"/>
      <c r="JA469" s="74"/>
    </row>
    <row r="470" spans="1:261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  <c r="IW470" s="74"/>
      <c r="IX470" s="74"/>
      <c r="IY470" s="74"/>
      <c r="IZ470" s="74"/>
      <c r="JA470" s="74"/>
    </row>
    <row r="471" spans="1:261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  <c r="IW471" s="74"/>
      <c r="IX471" s="74"/>
      <c r="IY471" s="74"/>
      <c r="IZ471" s="74"/>
      <c r="JA471" s="74"/>
    </row>
    <row r="472" spans="1:261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  <c r="IW472" s="74"/>
      <c r="IX472" s="74"/>
      <c r="IY472" s="74"/>
      <c r="IZ472" s="74"/>
      <c r="JA472" s="74"/>
    </row>
    <row r="473" spans="1:261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  <c r="IW473" s="74"/>
      <c r="IX473" s="74"/>
      <c r="IY473" s="74"/>
      <c r="IZ473" s="74"/>
      <c r="JA473" s="74"/>
    </row>
    <row r="474" spans="1:261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  <c r="IW474" s="74"/>
      <c r="IX474" s="74"/>
      <c r="IY474" s="74"/>
      <c r="IZ474" s="74"/>
      <c r="JA474" s="74"/>
    </row>
    <row r="475" spans="1:261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  <c r="IW475" s="74"/>
      <c r="IX475" s="74"/>
      <c r="IY475" s="74"/>
      <c r="IZ475" s="74"/>
      <c r="JA475" s="74"/>
    </row>
    <row r="476" spans="1:261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  <c r="IW476" s="74"/>
      <c r="IX476" s="74"/>
      <c r="IY476" s="74"/>
      <c r="IZ476" s="74"/>
      <c r="JA476" s="74"/>
    </row>
    <row r="477" spans="1:261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  <c r="IW477" s="74"/>
      <c r="IX477" s="74"/>
      <c r="IY477" s="74"/>
      <c r="IZ477" s="74"/>
      <c r="JA477" s="74"/>
    </row>
    <row r="478" spans="1:261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  <c r="IW478" s="74"/>
      <c r="IX478" s="74"/>
      <c r="IY478" s="74"/>
      <c r="IZ478" s="74"/>
      <c r="JA478" s="74"/>
    </row>
    <row r="479" spans="1:261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  <c r="IW479" s="74"/>
      <c r="IX479" s="74"/>
      <c r="IY479" s="74"/>
      <c r="IZ479" s="74"/>
      <c r="JA479" s="74"/>
    </row>
    <row r="480" spans="1:261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  <c r="IW480" s="74"/>
      <c r="IX480" s="74"/>
      <c r="IY480" s="74"/>
      <c r="IZ480" s="74"/>
      <c r="JA480" s="74"/>
    </row>
    <row r="481" spans="1:261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  <c r="IW481" s="74"/>
      <c r="IX481" s="74"/>
      <c r="IY481" s="74"/>
      <c r="IZ481" s="74"/>
      <c r="JA481" s="74"/>
    </row>
    <row r="482" spans="1:261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  <c r="IW482" s="74"/>
      <c r="IX482" s="74"/>
      <c r="IY482" s="74"/>
      <c r="IZ482" s="74"/>
      <c r="JA482" s="74"/>
    </row>
    <row r="483" spans="1:261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  <c r="IW483" s="74"/>
      <c r="IX483" s="74"/>
      <c r="IY483" s="74"/>
      <c r="IZ483" s="74"/>
      <c r="JA483" s="74"/>
    </row>
    <row r="484" spans="1:261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  <c r="IW484" s="74"/>
      <c r="IX484" s="74"/>
      <c r="IY484" s="74"/>
      <c r="IZ484" s="74"/>
      <c r="JA484" s="74"/>
    </row>
    <row r="485" spans="1:261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  <c r="IW485" s="74"/>
      <c r="IX485" s="74"/>
      <c r="IY485" s="74"/>
      <c r="IZ485" s="74"/>
      <c r="JA485" s="74"/>
    </row>
    <row r="486" spans="1:261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  <c r="IW486" s="74"/>
      <c r="IX486" s="74"/>
      <c r="IY486" s="74"/>
      <c r="IZ486" s="74"/>
      <c r="JA486" s="74"/>
    </row>
    <row r="487" spans="1:261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  <c r="IW487" s="74"/>
      <c r="IX487" s="74"/>
      <c r="IY487" s="74"/>
      <c r="IZ487" s="74"/>
      <c r="JA487" s="74"/>
    </row>
    <row r="488" spans="1:261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  <c r="IW488" s="74"/>
      <c r="IX488" s="74"/>
      <c r="IY488" s="74"/>
      <c r="IZ488" s="74"/>
      <c r="JA488" s="74"/>
    </row>
    <row r="489" spans="1:261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  <c r="IW489" s="74"/>
      <c r="IX489" s="74"/>
      <c r="IY489" s="74"/>
      <c r="IZ489" s="74"/>
      <c r="JA489" s="74"/>
    </row>
    <row r="490" spans="1:261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  <c r="IW490" s="74"/>
      <c r="IX490" s="74"/>
      <c r="IY490" s="74"/>
      <c r="IZ490" s="74"/>
      <c r="JA490" s="74"/>
    </row>
    <row r="491" spans="1:261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  <c r="IW491" s="74"/>
      <c r="IX491" s="74"/>
      <c r="IY491" s="74"/>
      <c r="IZ491" s="74"/>
      <c r="JA491" s="74"/>
    </row>
    <row r="492" spans="1:261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  <c r="IW492" s="74"/>
      <c r="IX492" s="74"/>
      <c r="IY492" s="74"/>
      <c r="IZ492" s="74"/>
      <c r="JA492" s="74"/>
    </row>
    <row r="493" spans="1:261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  <c r="IW493" s="74"/>
      <c r="IX493" s="74"/>
      <c r="IY493" s="74"/>
      <c r="IZ493" s="74"/>
      <c r="JA493" s="74"/>
    </row>
    <row r="494" spans="1:261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  <c r="IW494" s="74"/>
      <c r="IX494" s="74"/>
      <c r="IY494" s="74"/>
      <c r="IZ494" s="74"/>
      <c r="JA494" s="74"/>
    </row>
    <row r="495" spans="1:261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  <c r="IW495" s="74"/>
      <c r="IX495" s="74"/>
      <c r="IY495" s="74"/>
      <c r="IZ495" s="74"/>
      <c r="JA495" s="74"/>
    </row>
    <row r="496" spans="1:261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  <c r="IW496" s="74"/>
      <c r="IX496" s="74"/>
      <c r="IY496" s="74"/>
      <c r="IZ496" s="74"/>
      <c r="JA496" s="74"/>
    </row>
    <row r="497" spans="1:261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  <c r="IW497" s="74"/>
      <c r="IX497" s="74"/>
      <c r="IY497" s="74"/>
      <c r="IZ497" s="74"/>
      <c r="JA497" s="74"/>
    </row>
    <row r="498" spans="1:261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  <c r="IW498" s="74"/>
      <c r="IX498" s="74"/>
      <c r="IY498" s="74"/>
      <c r="IZ498" s="74"/>
      <c r="JA498" s="74"/>
    </row>
    <row r="499" spans="1:261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  <c r="IW499" s="74"/>
      <c r="IX499" s="74"/>
      <c r="IY499" s="74"/>
      <c r="IZ499" s="74"/>
      <c r="JA499" s="74"/>
    </row>
    <row r="500" spans="1:261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  <c r="IW500" s="74"/>
      <c r="IX500" s="74"/>
      <c r="IY500" s="74"/>
      <c r="IZ500" s="74"/>
      <c r="JA500" s="74"/>
    </row>
    <row r="501" spans="1:261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  <c r="IW501" s="74"/>
      <c r="IX501" s="74"/>
      <c r="IY501" s="74"/>
      <c r="IZ501" s="74"/>
      <c r="JA501" s="74"/>
    </row>
    <row r="502" spans="1:261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  <c r="IW502" s="74"/>
      <c r="IX502" s="74"/>
      <c r="IY502" s="74"/>
      <c r="IZ502" s="74"/>
      <c r="JA502" s="74"/>
    </row>
    <row r="503" spans="1:261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  <c r="IW503" s="74"/>
      <c r="IX503" s="74"/>
      <c r="IY503" s="74"/>
      <c r="IZ503" s="74"/>
      <c r="JA503" s="74"/>
    </row>
    <row r="504" spans="1:261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  <c r="IW504" s="74"/>
      <c r="IX504" s="74"/>
      <c r="IY504" s="74"/>
      <c r="IZ504" s="74"/>
      <c r="JA504" s="74"/>
    </row>
    <row r="505" spans="1:261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  <c r="IW505" s="74"/>
      <c r="IX505" s="74"/>
      <c r="IY505" s="74"/>
      <c r="IZ505" s="74"/>
      <c r="JA505" s="74"/>
    </row>
    <row r="506" spans="1:261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  <c r="IW506" s="74"/>
      <c r="IX506" s="74"/>
      <c r="IY506" s="74"/>
      <c r="IZ506" s="74"/>
      <c r="JA506" s="74"/>
    </row>
    <row r="507" spans="1:261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  <c r="IW507" s="74"/>
      <c r="IX507" s="74"/>
      <c r="IY507" s="74"/>
      <c r="IZ507" s="74"/>
      <c r="JA507" s="74"/>
    </row>
    <row r="508" spans="1:261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  <c r="IW508" s="74"/>
      <c r="IX508" s="74"/>
      <c r="IY508" s="74"/>
      <c r="IZ508" s="74"/>
      <c r="JA508" s="74"/>
    </row>
    <row r="509" spans="1:261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  <c r="IW509" s="74"/>
      <c r="IX509" s="74"/>
      <c r="IY509" s="74"/>
      <c r="IZ509" s="74"/>
      <c r="JA509" s="74"/>
    </row>
    <row r="510" spans="1:261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  <c r="IW510" s="74"/>
      <c r="IX510" s="74"/>
      <c r="IY510" s="74"/>
      <c r="IZ510" s="74"/>
      <c r="JA510" s="74"/>
    </row>
    <row r="511" spans="1:261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  <c r="IW511" s="74"/>
      <c r="IX511" s="74"/>
      <c r="IY511" s="74"/>
      <c r="IZ511" s="74"/>
      <c r="JA511" s="74"/>
    </row>
    <row r="512" spans="1:261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  <c r="IW512" s="74"/>
      <c r="IX512" s="74"/>
      <c r="IY512" s="74"/>
      <c r="IZ512" s="74"/>
      <c r="JA512" s="74"/>
    </row>
    <row r="513" spans="1:261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  <c r="IW513" s="74"/>
      <c r="IX513" s="74"/>
      <c r="IY513" s="74"/>
      <c r="IZ513" s="74"/>
      <c r="JA513" s="74"/>
    </row>
    <row r="514" spans="1:261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  <c r="IW514" s="74"/>
      <c r="IX514" s="74"/>
      <c r="IY514" s="74"/>
      <c r="IZ514" s="74"/>
      <c r="JA514" s="74"/>
    </row>
    <row r="515" spans="1:261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  <c r="IW515" s="74"/>
      <c r="IX515" s="74"/>
      <c r="IY515" s="74"/>
      <c r="IZ515" s="74"/>
      <c r="JA515" s="74"/>
    </row>
    <row r="516" spans="1:261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  <c r="IW516" s="74"/>
      <c r="IX516" s="74"/>
      <c r="IY516" s="74"/>
      <c r="IZ516" s="74"/>
      <c r="JA516" s="74"/>
    </row>
    <row r="517" spans="1:261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  <c r="IW517" s="74"/>
      <c r="IX517" s="74"/>
      <c r="IY517" s="74"/>
      <c r="IZ517" s="74"/>
      <c r="JA517" s="74"/>
    </row>
    <row r="518" spans="1:261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  <c r="IW518" s="74"/>
      <c r="IX518" s="74"/>
      <c r="IY518" s="74"/>
      <c r="IZ518" s="74"/>
      <c r="JA518" s="74"/>
    </row>
    <row r="519" spans="1:261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  <c r="IW519" s="74"/>
      <c r="IX519" s="74"/>
      <c r="IY519" s="74"/>
      <c r="IZ519" s="74"/>
      <c r="JA519" s="74"/>
    </row>
    <row r="520" spans="1:261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  <c r="IW520" s="74"/>
      <c r="IX520" s="74"/>
      <c r="IY520" s="74"/>
      <c r="IZ520" s="74"/>
      <c r="JA520" s="74"/>
    </row>
    <row r="521" spans="1:261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  <c r="IW521" s="74"/>
      <c r="IX521" s="74"/>
      <c r="IY521" s="74"/>
      <c r="IZ521" s="74"/>
      <c r="JA521" s="74"/>
    </row>
    <row r="522" spans="1:261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  <c r="IW522" s="74"/>
      <c r="IX522" s="74"/>
      <c r="IY522" s="74"/>
      <c r="IZ522" s="74"/>
      <c r="JA522" s="74"/>
    </row>
    <row r="523" spans="1:261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  <c r="IW523" s="74"/>
      <c r="IX523" s="74"/>
      <c r="IY523" s="74"/>
      <c r="IZ523" s="74"/>
      <c r="JA523" s="74"/>
    </row>
    <row r="524" spans="1:261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  <c r="IW524" s="74"/>
      <c r="IX524" s="74"/>
      <c r="IY524" s="74"/>
      <c r="IZ524" s="74"/>
      <c r="JA524" s="74"/>
    </row>
    <row r="525" spans="1:261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  <c r="IW525" s="74"/>
      <c r="IX525" s="74"/>
      <c r="IY525" s="74"/>
      <c r="IZ525" s="74"/>
      <c r="JA525" s="74"/>
    </row>
    <row r="526" spans="1:261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  <c r="IW526" s="74"/>
      <c r="IX526" s="74"/>
      <c r="IY526" s="74"/>
      <c r="IZ526" s="74"/>
      <c r="JA526" s="74"/>
    </row>
    <row r="527" spans="1:261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  <c r="IW527" s="74"/>
      <c r="IX527" s="74"/>
      <c r="IY527" s="74"/>
      <c r="IZ527" s="74"/>
      <c r="JA527" s="74"/>
    </row>
    <row r="528" spans="1:261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  <c r="IW528" s="74"/>
      <c r="IX528" s="74"/>
      <c r="IY528" s="74"/>
      <c r="IZ528" s="74"/>
      <c r="JA528" s="74"/>
    </row>
    <row r="529" spans="1:261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  <c r="IW529" s="74"/>
      <c r="IX529" s="74"/>
      <c r="IY529" s="74"/>
      <c r="IZ529" s="74"/>
      <c r="JA529" s="74"/>
    </row>
    <row r="530" spans="1:261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  <c r="IW530" s="74"/>
      <c r="IX530" s="74"/>
      <c r="IY530" s="74"/>
      <c r="IZ530" s="74"/>
      <c r="JA530" s="74"/>
    </row>
    <row r="531" spans="1:261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  <c r="IW531" s="74"/>
      <c r="IX531" s="74"/>
      <c r="IY531" s="74"/>
      <c r="IZ531" s="74"/>
      <c r="JA531" s="74"/>
    </row>
    <row r="532" spans="1:261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  <c r="IW532" s="74"/>
      <c r="IX532" s="74"/>
      <c r="IY532" s="74"/>
      <c r="IZ532" s="74"/>
      <c r="JA532" s="74"/>
    </row>
    <row r="533" spans="1:261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  <c r="IW533" s="74"/>
      <c r="IX533" s="74"/>
      <c r="IY533" s="74"/>
      <c r="IZ533" s="74"/>
      <c r="JA533" s="74"/>
    </row>
    <row r="534" spans="1:261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  <c r="IW534" s="74"/>
      <c r="IX534" s="74"/>
      <c r="IY534" s="74"/>
      <c r="IZ534" s="74"/>
      <c r="JA534" s="74"/>
    </row>
    <row r="535" spans="1:261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  <c r="IW535" s="74"/>
      <c r="IX535" s="74"/>
      <c r="IY535" s="74"/>
      <c r="IZ535" s="74"/>
      <c r="JA535" s="74"/>
    </row>
    <row r="536" spans="1:261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  <c r="IW536" s="74"/>
      <c r="IX536" s="74"/>
      <c r="IY536" s="74"/>
      <c r="IZ536" s="74"/>
      <c r="JA536" s="74"/>
    </row>
    <row r="537" spans="1:261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  <c r="IW537" s="74"/>
      <c r="IX537" s="74"/>
      <c r="IY537" s="74"/>
      <c r="IZ537" s="74"/>
      <c r="JA537" s="74"/>
    </row>
    <row r="538" spans="1:261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  <c r="IW538" s="74"/>
      <c r="IX538" s="74"/>
      <c r="IY538" s="74"/>
      <c r="IZ538" s="74"/>
      <c r="JA538" s="74"/>
    </row>
    <row r="539" spans="1:261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  <c r="IW539" s="74"/>
      <c r="IX539" s="74"/>
      <c r="IY539" s="74"/>
      <c r="IZ539" s="74"/>
      <c r="JA539" s="74"/>
    </row>
    <row r="540" spans="1:261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  <c r="IW540" s="74"/>
      <c r="IX540" s="74"/>
      <c r="IY540" s="74"/>
      <c r="IZ540" s="74"/>
      <c r="JA540" s="74"/>
    </row>
    <row r="541" spans="1:261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  <c r="IW541" s="74"/>
      <c r="IX541" s="74"/>
      <c r="IY541" s="74"/>
      <c r="IZ541" s="74"/>
      <c r="JA541" s="74"/>
    </row>
    <row r="542" spans="1:261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  <c r="IW542" s="74"/>
      <c r="IX542" s="74"/>
      <c r="IY542" s="74"/>
      <c r="IZ542" s="74"/>
      <c r="JA542" s="74"/>
    </row>
    <row r="543" spans="1:261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  <c r="IW543" s="74"/>
      <c r="IX543" s="74"/>
      <c r="IY543" s="74"/>
      <c r="IZ543" s="74"/>
      <c r="JA543" s="74"/>
    </row>
    <row r="544" spans="1:261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  <c r="IW544" s="74"/>
      <c r="IX544" s="74"/>
      <c r="IY544" s="74"/>
      <c r="IZ544" s="74"/>
      <c r="JA544" s="74"/>
    </row>
    <row r="545" spans="1:261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  <c r="IW545" s="74"/>
      <c r="IX545" s="74"/>
      <c r="IY545" s="74"/>
      <c r="IZ545" s="74"/>
      <c r="JA545" s="74"/>
    </row>
    <row r="546" spans="1:261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  <c r="IW546" s="74"/>
      <c r="IX546" s="74"/>
      <c r="IY546" s="74"/>
      <c r="IZ546" s="74"/>
      <c r="JA546" s="74"/>
    </row>
    <row r="547" spans="1:261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  <c r="IW547" s="74"/>
      <c r="IX547" s="74"/>
      <c r="IY547" s="74"/>
      <c r="IZ547" s="74"/>
      <c r="JA547" s="74"/>
    </row>
    <row r="548" spans="1:261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  <c r="IW548" s="74"/>
      <c r="IX548" s="74"/>
      <c r="IY548" s="74"/>
      <c r="IZ548" s="74"/>
      <c r="JA548" s="74"/>
    </row>
    <row r="549" spans="1:261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  <c r="IW549" s="74"/>
      <c r="IX549" s="74"/>
      <c r="IY549" s="74"/>
      <c r="IZ549" s="74"/>
      <c r="JA549" s="74"/>
    </row>
    <row r="550" spans="1:261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  <c r="IW550" s="74"/>
      <c r="IX550" s="74"/>
      <c r="IY550" s="74"/>
      <c r="IZ550" s="74"/>
      <c r="JA550" s="74"/>
    </row>
    <row r="551" spans="1:261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  <c r="IW551" s="74"/>
      <c r="IX551" s="74"/>
      <c r="IY551" s="74"/>
      <c r="IZ551" s="74"/>
      <c r="JA551" s="74"/>
    </row>
    <row r="552" spans="1:261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  <c r="IW552" s="74"/>
      <c r="IX552" s="74"/>
      <c r="IY552" s="74"/>
      <c r="IZ552" s="74"/>
      <c r="JA552" s="74"/>
    </row>
    <row r="553" spans="1:261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  <c r="IW553" s="74"/>
      <c r="IX553" s="74"/>
      <c r="IY553" s="74"/>
      <c r="IZ553" s="74"/>
      <c r="JA553" s="74"/>
    </row>
    <row r="554" spans="1:261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  <c r="IW554" s="74"/>
      <c r="IX554" s="74"/>
      <c r="IY554" s="74"/>
      <c r="IZ554" s="74"/>
      <c r="JA554" s="74"/>
    </row>
    <row r="555" spans="1:261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  <c r="IW555" s="74"/>
      <c r="IX555" s="74"/>
      <c r="IY555" s="74"/>
      <c r="IZ555" s="74"/>
      <c r="JA555" s="74"/>
    </row>
    <row r="556" spans="1:261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  <c r="IW556" s="74"/>
      <c r="IX556" s="74"/>
      <c r="IY556" s="74"/>
      <c r="IZ556" s="74"/>
      <c r="JA556" s="74"/>
    </row>
    <row r="557" spans="1:261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  <c r="IW557" s="74"/>
      <c r="IX557" s="74"/>
      <c r="IY557" s="74"/>
      <c r="IZ557" s="74"/>
      <c r="JA557" s="74"/>
    </row>
    <row r="558" spans="1:261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  <c r="IW558" s="74"/>
      <c r="IX558" s="74"/>
      <c r="IY558" s="74"/>
      <c r="IZ558" s="74"/>
      <c r="JA558" s="74"/>
    </row>
    <row r="559" spans="1:261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  <c r="IW559" s="74"/>
      <c r="IX559" s="74"/>
      <c r="IY559" s="74"/>
      <c r="IZ559" s="74"/>
      <c r="JA559" s="74"/>
    </row>
    <row r="560" spans="1:261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  <c r="IW560" s="74"/>
      <c r="IX560" s="74"/>
      <c r="IY560" s="74"/>
      <c r="IZ560" s="74"/>
      <c r="JA560" s="74"/>
    </row>
    <row r="561" spans="1:261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  <c r="IW561" s="74"/>
      <c r="IX561" s="74"/>
      <c r="IY561" s="74"/>
      <c r="IZ561" s="74"/>
      <c r="JA561" s="74"/>
    </row>
    <row r="562" spans="1:261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  <c r="IW562" s="74"/>
      <c r="IX562" s="74"/>
      <c r="IY562" s="74"/>
      <c r="IZ562" s="74"/>
      <c r="JA562" s="74"/>
    </row>
    <row r="563" spans="1:261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  <c r="IW563" s="74"/>
      <c r="IX563" s="74"/>
      <c r="IY563" s="74"/>
      <c r="IZ563" s="74"/>
      <c r="JA563" s="74"/>
    </row>
    <row r="564" spans="1:261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  <c r="IW564" s="74"/>
      <c r="IX564" s="74"/>
      <c r="IY564" s="74"/>
      <c r="IZ564" s="74"/>
      <c r="JA564" s="74"/>
    </row>
    <row r="565" spans="1:261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  <c r="IW565" s="74"/>
      <c r="IX565" s="74"/>
      <c r="IY565" s="74"/>
      <c r="IZ565" s="74"/>
      <c r="JA565" s="74"/>
    </row>
    <row r="566" spans="1:261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  <c r="IW566" s="74"/>
      <c r="IX566" s="74"/>
      <c r="IY566" s="74"/>
      <c r="IZ566" s="74"/>
      <c r="JA566" s="74"/>
    </row>
    <row r="567" spans="1:261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  <c r="IW567" s="74"/>
      <c r="IX567" s="74"/>
      <c r="IY567" s="74"/>
      <c r="IZ567" s="74"/>
      <c r="JA567" s="74"/>
    </row>
    <row r="568" spans="1:261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  <c r="IW568" s="74"/>
      <c r="IX568" s="74"/>
      <c r="IY568" s="74"/>
      <c r="IZ568" s="74"/>
      <c r="JA568" s="74"/>
    </row>
    <row r="569" spans="1:261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  <c r="IW569" s="74"/>
      <c r="IX569" s="74"/>
      <c r="IY569" s="74"/>
      <c r="IZ569" s="74"/>
      <c r="JA569" s="74"/>
    </row>
    <row r="570" spans="1:261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  <c r="IW570" s="74"/>
      <c r="IX570" s="74"/>
      <c r="IY570" s="74"/>
      <c r="IZ570" s="74"/>
      <c r="JA570" s="74"/>
    </row>
    <row r="571" spans="1:261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  <c r="IW571" s="74"/>
      <c r="IX571" s="74"/>
      <c r="IY571" s="74"/>
      <c r="IZ571" s="74"/>
      <c r="JA571" s="74"/>
    </row>
    <row r="572" spans="1:261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  <c r="IW572" s="74"/>
      <c r="IX572" s="74"/>
      <c r="IY572" s="74"/>
      <c r="IZ572" s="74"/>
      <c r="JA572" s="74"/>
    </row>
    <row r="573" spans="1:261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  <c r="IW573" s="74"/>
      <c r="IX573" s="74"/>
      <c r="IY573" s="74"/>
      <c r="IZ573" s="74"/>
      <c r="JA573" s="74"/>
    </row>
    <row r="574" spans="1:261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  <c r="IW574" s="74"/>
      <c r="IX574" s="74"/>
      <c r="IY574" s="74"/>
      <c r="IZ574" s="74"/>
      <c r="JA574" s="74"/>
    </row>
    <row r="575" spans="1:261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  <c r="IW575" s="74"/>
      <c r="IX575" s="74"/>
      <c r="IY575" s="74"/>
      <c r="IZ575" s="74"/>
      <c r="JA575" s="74"/>
    </row>
    <row r="576" spans="1:261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  <c r="IW576" s="74"/>
      <c r="IX576" s="74"/>
      <c r="IY576" s="74"/>
      <c r="IZ576" s="74"/>
      <c r="JA576" s="74"/>
    </row>
    <row r="577" spans="1:261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  <c r="IW577" s="74"/>
      <c r="IX577" s="74"/>
      <c r="IY577" s="74"/>
      <c r="IZ577" s="74"/>
      <c r="JA577" s="74"/>
    </row>
    <row r="578" spans="1:261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  <c r="IW578" s="74"/>
      <c r="IX578" s="74"/>
      <c r="IY578" s="74"/>
      <c r="IZ578" s="74"/>
      <c r="JA578" s="74"/>
    </row>
    <row r="579" spans="1:261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  <c r="IW579" s="74"/>
      <c r="IX579" s="74"/>
      <c r="IY579" s="74"/>
      <c r="IZ579" s="74"/>
      <c r="JA579" s="74"/>
    </row>
    <row r="580" spans="1:261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  <c r="IW580" s="74"/>
      <c r="IX580" s="74"/>
      <c r="IY580" s="74"/>
      <c r="IZ580" s="74"/>
      <c r="JA580" s="74"/>
    </row>
    <row r="581" spans="1:261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  <c r="IW581" s="74"/>
      <c r="IX581" s="74"/>
      <c r="IY581" s="74"/>
      <c r="IZ581" s="74"/>
      <c r="JA581" s="74"/>
    </row>
    <row r="582" spans="1:261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  <c r="IW582" s="74"/>
      <c r="IX582" s="74"/>
      <c r="IY582" s="74"/>
      <c r="IZ582" s="74"/>
      <c r="JA582" s="74"/>
    </row>
    <row r="583" spans="1:261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  <c r="IW583" s="74"/>
      <c r="IX583" s="74"/>
      <c r="IY583" s="74"/>
      <c r="IZ583" s="74"/>
      <c r="JA583" s="74"/>
    </row>
    <row r="584" spans="1:261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  <c r="IW584" s="74"/>
      <c r="IX584" s="74"/>
      <c r="IY584" s="74"/>
      <c r="IZ584" s="74"/>
      <c r="JA584" s="74"/>
    </row>
    <row r="585" spans="1:261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  <c r="IW585" s="74"/>
      <c r="IX585" s="74"/>
      <c r="IY585" s="74"/>
      <c r="IZ585" s="74"/>
      <c r="JA585" s="74"/>
    </row>
    <row r="586" spans="1:261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  <c r="IW586" s="74"/>
      <c r="IX586" s="74"/>
      <c r="IY586" s="74"/>
      <c r="IZ586" s="74"/>
      <c r="JA586" s="74"/>
    </row>
    <row r="587" spans="1:261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  <c r="IW587" s="74"/>
      <c r="IX587" s="74"/>
      <c r="IY587" s="74"/>
      <c r="IZ587" s="74"/>
      <c r="JA587" s="74"/>
    </row>
    <row r="588" spans="1:261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  <c r="IW588" s="74"/>
      <c r="IX588" s="74"/>
      <c r="IY588" s="74"/>
      <c r="IZ588" s="74"/>
      <c r="JA588" s="74"/>
    </row>
    <row r="589" spans="1:261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  <c r="IW589" s="74"/>
      <c r="IX589" s="74"/>
      <c r="IY589" s="74"/>
      <c r="IZ589" s="74"/>
      <c r="JA589" s="74"/>
    </row>
    <row r="590" spans="1:261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  <c r="IW590" s="74"/>
      <c r="IX590" s="74"/>
      <c r="IY590" s="74"/>
      <c r="IZ590" s="74"/>
      <c r="JA590" s="74"/>
    </row>
    <row r="591" spans="1:261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  <c r="IW591" s="74"/>
      <c r="IX591" s="74"/>
      <c r="IY591" s="74"/>
      <c r="IZ591" s="74"/>
      <c r="JA591" s="74"/>
    </row>
    <row r="592" spans="1:261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  <c r="IW592" s="74"/>
      <c r="IX592" s="74"/>
      <c r="IY592" s="74"/>
      <c r="IZ592" s="74"/>
      <c r="JA592" s="74"/>
    </row>
    <row r="593" spans="1:261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  <c r="IW593" s="74"/>
      <c r="IX593" s="74"/>
      <c r="IY593" s="74"/>
      <c r="IZ593" s="74"/>
      <c r="JA593" s="74"/>
    </row>
    <row r="594" spans="1:261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  <c r="IW594" s="74"/>
      <c r="IX594" s="74"/>
      <c r="IY594" s="74"/>
      <c r="IZ594" s="74"/>
      <c r="JA594" s="74"/>
    </row>
    <row r="595" spans="1:261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  <c r="IW595" s="74"/>
      <c r="IX595" s="74"/>
      <c r="IY595" s="74"/>
      <c r="IZ595" s="74"/>
      <c r="JA595" s="74"/>
    </row>
    <row r="596" spans="1:261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  <c r="IW596" s="74"/>
      <c r="IX596" s="74"/>
      <c r="IY596" s="74"/>
      <c r="IZ596" s="74"/>
      <c r="JA596" s="74"/>
    </row>
    <row r="597" spans="1:261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  <c r="IW597" s="74"/>
      <c r="IX597" s="74"/>
      <c r="IY597" s="74"/>
      <c r="IZ597" s="74"/>
      <c r="JA597" s="74"/>
    </row>
    <row r="598" spans="1:261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  <c r="IW598" s="74"/>
      <c r="IX598" s="74"/>
      <c r="IY598" s="74"/>
      <c r="IZ598" s="74"/>
      <c r="JA598" s="74"/>
    </row>
    <row r="599" spans="1:261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  <c r="IW599" s="74"/>
      <c r="IX599" s="74"/>
      <c r="IY599" s="74"/>
      <c r="IZ599" s="74"/>
      <c r="JA599" s="74"/>
    </row>
    <row r="600" spans="1:261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  <c r="IW600" s="74"/>
      <c r="IX600" s="74"/>
      <c r="IY600" s="74"/>
      <c r="IZ600" s="74"/>
      <c r="JA600" s="74"/>
    </row>
    <row r="601" spans="1:261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  <c r="IW601" s="74"/>
      <c r="IX601" s="74"/>
      <c r="IY601" s="74"/>
      <c r="IZ601" s="74"/>
      <c r="JA601" s="74"/>
    </row>
    <row r="602" spans="1:261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  <c r="IW602" s="74"/>
      <c r="IX602" s="74"/>
      <c r="IY602" s="74"/>
      <c r="IZ602" s="74"/>
      <c r="JA602" s="74"/>
    </row>
    <row r="603" spans="1:261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  <c r="IW603" s="74"/>
      <c r="IX603" s="74"/>
      <c r="IY603" s="74"/>
      <c r="IZ603" s="74"/>
      <c r="JA603" s="74"/>
    </row>
    <row r="604" spans="1:261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  <c r="IW604" s="74"/>
      <c r="IX604" s="74"/>
      <c r="IY604" s="74"/>
      <c r="IZ604" s="74"/>
      <c r="JA604" s="74"/>
    </row>
    <row r="605" spans="1:261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  <c r="IW605" s="74"/>
      <c r="IX605" s="74"/>
      <c r="IY605" s="74"/>
      <c r="IZ605" s="74"/>
      <c r="JA605" s="74"/>
    </row>
    <row r="606" spans="1:261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  <c r="IW606" s="74"/>
      <c r="IX606" s="74"/>
      <c r="IY606" s="74"/>
      <c r="IZ606" s="74"/>
      <c r="JA606" s="74"/>
    </row>
    <row r="607" spans="1:261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  <c r="IW607" s="74"/>
      <c r="IX607" s="74"/>
      <c r="IY607" s="74"/>
      <c r="IZ607" s="74"/>
      <c r="JA607" s="74"/>
    </row>
    <row r="608" spans="1:261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  <c r="IW608" s="74"/>
      <c r="IX608" s="74"/>
      <c r="IY608" s="74"/>
      <c r="IZ608" s="74"/>
      <c r="JA608" s="74"/>
    </row>
    <row r="609" spans="1:261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  <c r="IW609" s="74"/>
      <c r="IX609" s="74"/>
      <c r="IY609" s="74"/>
      <c r="IZ609" s="74"/>
      <c r="JA609" s="74"/>
    </row>
    <row r="610" spans="1:261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  <c r="IW610" s="74"/>
      <c r="IX610" s="74"/>
      <c r="IY610" s="74"/>
      <c r="IZ610" s="74"/>
      <c r="JA610" s="74"/>
    </row>
    <row r="611" spans="1:261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  <c r="IW611" s="74"/>
      <c r="IX611" s="74"/>
      <c r="IY611" s="74"/>
      <c r="IZ611" s="74"/>
      <c r="JA611" s="74"/>
    </row>
    <row r="612" spans="1:261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  <c r="IW612" s="74"/>
      <c r="IX612" s="74"/>
      <c r="IY612" s="74"/>
      <c r="IZ612" s="74"/>
      <c r="JA612" s="74"/>
    </row>
    <row r="613" spans="1:261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  <c r="IW613" s="74"/>
      <c r="IX613" s="74"/>
      <c r="IY613" s="74"/>
      <c r="IZ613" s="74"/>
      <c r="JA613" s="74"/>
    </row>
    <row r="614" spans="1:261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  <c r="IW614" s="74"/>
      <c r="IX614" s="74"/>
      <c r="IY614" s="74"/>
      <c r="IZ614" s="74"/>
      <c r="JA614" s="74"/>
    </row>
    <row r="615" spans="1:261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  <c r="IW615" s="74"/>
      <c r="IX615" s="74"/>
      <c r="IY615" s="74"/>
      <c r="IZ615" s="74"/>
      <c r="JA615" s="74"/>
    </row>
    <row r="616" spans="1:261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  <c r="IW616" s="74"/>
      <c r="IX616" s="74"/>
      <c r="IY616" s="74"/>
      <c r="IZ616" s="74"/>
      <c r="JA616" s="74"/>
    </row>
    <row r="617" spans="1:261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  <c r="IW617" s="74"/>
      <c r="IX617" s="74"/>
      <c r="IY617" s="74"/>
      <c r="IZ617" s="74"/>
      <c r="JA617" s="74"/>
    </row>
    <row r="618" spans="1:261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  <c r="IW618" s="74"/>
      <c r="IX618" s="74"/>
      <c r="IY618" s="74"/>
      <c r="IZ618" s="74"/>
      <c r="JA618" s="74"/>
    </row>
    <row r="619" spans="1:261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  <c r="IW619" s="74"/>
      <c r="IX619" s="74"/>
      <c r="IY619" s="74"/>
      <c r="IZ619" s="74"/>
      <c r="JA619" s="74"/>
    </row>
    <row r="620" spans="1:261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  <c r="IW620" s="74"/>
      <c r="IX620" s="74"/>
      <c r="IY620" s="74"/>
      <c r="IZ620" s="74"/>
      <c r="JA620" s="74"/>
    </row>
    <row r="621" spans="1:261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  <c r="IW621" s="74"/>
      <c r="IX621" s="74"/>
      <c r="IY621" s="74"/>
      <c r="IZ621" s="74"/>
      <c r="JA621" s="74"/>
    </row>
    <row r="622" spans="1:261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  <c r="IW622" s="74"/>
      <c r="IX622" s="74"/>
      <c r="IY622" s="74"/>
      <c r="IZ622" s="74"/>
      <c r="JA622" s="74"/>
    </row>
    <row r="623" spans="1:261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  <c r="IW623" s="74"/>
      <c r="IX623" s="74"/>
      <c r="IY623" s="74"/>
      <c r="IZ623" s="74"/>
      <c r="JA623" s="74"/>
    </row>
    <row r="624" spans="1:261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  <c r="IW624" s="74"/>
      <c r="IX624" s="74"/>
      <c r="IY624" s="74"/>
      <c r="IZ624" s="74"/>
      <c r="JA624" s="74"/>
    </row>
    <row r="625" spans="1:261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  <c r="IW625" s="74"/>
      <c r="IX625" s="74"/>
      <c r="IY625" s="74"/>
      <c r="IZ625" s="74"/>
      <c r="JA625" s="74"/>
    </row>
    <row r="626" spans="1:261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  <c r="IW626" s="74"/>
      <c r="IX626" s="74"/>
      <c r="IY626" s="74"/>
      <c r="IZ626" s="74"/>
      <c r="JA626" s="74"/>
    </row>
    <row r="627" spans="1:261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  <c r="IW627" s="74"/>
      <c r="IX627" s="74"/>
      <c r="IY627" s="74"/>
      <c r="IZ627" s="74"/>
      <c r="JA627" s="74"/>
    </row>
    <row r="628" spans="1:261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  <c r="IW628" s="74"/>
      <c r="IX628" s="74"/>
      <c r="IY628" s="74"/>
      <c r="IZ628" s="74"/>
      <c r="JA628" s="74"/>
    </row>
    <row r="629" spans="1:261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  <c r="IW629" s="74"/>
      <c r="IX629" s="74"/>
      <c r="IY629" s="74"/>
      <c r="IZ629" s="74"/>
      <c r="JA629" s="74"/>
    </row>
    <row r="630" spans="1:261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  <c r="IW630" s="74"/>
      <c r="IX630" s="74"/>
      <c r="IY630" s="74"/>
      <c r="IZ630" s="74"/>
      <c r="JA630" s="74"/>
    </row>
    <row r="631" spans="1:261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  <c r="IW631" s="74"/>
      <c r="IX631" s="74"/>
      <c r="IY631" s="74"/>
      <c r="IZ631" s="74"/>
      <c r="JA631" s="74"/>
    </row>
    <row r="632" spans="1:261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  <c r="IW632" s="74"/>
      <c r="IX632" s="74"/>
      <c r="IY632" s="74"/>
      <c r="IZ632" s="74"/>
      <c r="JA632" s="74"/>
    </row>
    <row r="633" spans="1:261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  <c r="IW633" s="74"/>
      <c r="IX633" s="74"/>
      <c r="IY633" s="74"/>
      <c r="IZ633" s="74"/>
      <c r="JA633" s="74"/>
    </row>
    <row r="634" spans="1:261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  <c r="IW634" s="74"/>
      <c r="IX634" s="74"/>
      <c r="IY634" s="74"/>
      <c r="IZ634" s="74"/>
      <c r="JA634" s="74"/>
    </row>
    <row r="635" spans="1:261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  <c r="IW635" s="74"/>
      <c r="IX635" s="74"/>
      <c r="IY635" s="74"/>
      <c r="IZ635" s="74"/>
      <c r="JA635" s="74"/>
    </row>
    <row r="636" spans="1:261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  <c r="IW636" s="74"/>
      <c r="IX636" s="74"/>
      <c r="IY636" s="74"/>
      <c r="IZ636" s="74"/>
      <c r="JA636" s="74"/>
    </row>
    <row r="637" spans="1:261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  <c r="IW637" s="74"/>
      <c r="IX637" s="74"/>
      <c r="IY637" s="74"/>
      <c r="IZ637" s="74"/>
      <c r="JA637" s="74"/>
    </row>
    <row r="638" spans="1:261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  <c r="IW638" s="74"/>
      <c r="IX638" s="74"/>
      <c r="IY638" s="74"/>
      <c r="IZ638" s="74"/>
      <c r="JA638" s="74"/>
    </row>
    <row r="639" spans="1:261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  <c r="IW639" s="74"/>
      <c r="IX639" s="74"/>
      <c r="IY639" s="74"/>
      <c r="IZ639" s="74"/>
      <c r="JA639" s="74"/>
    </row>
    <row r="640" spans="1:261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  <c r="IW640" s="74"/>
      <c r="IX640" s="74"/>
      <c r="IY640" s="74"/>
      <c r="IZ640" s="74"/>
      <c r="JA640" s="74"/>
    </row>
    <row r="641" spans="1:261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  <c r="IW641" s="74"/>
      <c r="IX641" s="74"/>
      <c r="IY641" s="74"/>
      <c r="IZ641" s="74"/>
      <c r="JA641" s="74"/>
    </row>
    <row r="642" spans="1:261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  <c r="IW642" s="74"/>
      <c r="IX642" s="74"/>
      <c r="IY642" s="74"/>
      <c r="IZ642" s="74"/>
      <c r="JA642" s="74"/>
    </row>
    <row r="643" spans="1:261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  <c r="IW643" s="74"/>
      <c r="IX643" s="74"/>
      <c r="IY643" s="74"/>
      <c r="IZ643" s="74"/>
      <c r="JA643" s="74"/>
    </row>
    <row r="644" spans="1:261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  <c r="IW644" s="74"/>
      <c r="IX644" s="74"/>
      <c r="IY644" s="74"/>
      <c r="IZ644" s="74"/>
      <c r="JA644" s="74"/>
    </row>
    <row r="645" spans="1:261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  <c r="IW645" s="74"/>
      <c r="IX645" s="74"/>
      <c r="IY645" s="74"/>
      <c r="IZ645" s="74"/>
      <c r="JA645" s="74"/>
    </row>
    <row r="646" spans="1:261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  <c r="IW646" s="74"/>
      <c r="IX646" s="74"/>
      <c r="IY646" s="74"/>
      <c r="IZ646" s="74"/>
      <c r="JA646" s="74"/>
    </row>
    <row r="647" spans="1:261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  <c r="IW647" s="74"/>
      <c r="IX647" s="74"/>
      <c r="IY647" s="74"/>
      <c r="IZ647" s="74"/>
      <c r="JA647" s="74"/>
    </row>
    <row r="648" spans="1:261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  <c r="IW648" s="74"/>
      <c r="IX648" s="74"/>
      <c r="IY648" s="74"/>
      <c r="IZ648" s="74"/>
      <c r="JA648" s="74"/>
    </row>
    <row r="649" spans="1:261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  <c r="IW649" s="74"/>
      <c r="IX649" s="74"/>
      <c r="IY649" s="74"/>
      <c r="IZ649" s="74"/>
      <c r="JA649" s="74"/>
    </row>
    <row r="650" spans="1:261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  <c r="IW650" s="74"/>
      <c r="IX650" s="74"/>
      <c r="IY650" s="74"/>
      <c r="IZ650" s="74"/>
      <c r="JA650" s="74"/>
    </row>
    <row r="651" spans="1:261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  <c r="IW651" s="74"/>
      <c r="IX651" s="74"/>
      <c r="IY651" s="74"/>
      <c r="IZ651" s="74"/>
      <c r="JA651" s="74"/>
    </row>
    <row r="652" spans="1:261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  <c r="IW652" s="74"/>
      <c r="IX652" s="74"/>
      <c r="IY652" s="74"/>
      <c r="IZ652" s="74"/>
      <c r="JA652" s="74"/>
    </row>
    <row r="653" spans="1:261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  <c r="IW653" s="74"/>
      <c r="IX653" s="74"/>
      <c r="IY653" s="74"/>
      <c r="IZ653" s="74"/>
      <c r="JA653" s="74"/>
    </row>
    <row r="654" spans="1:261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  <c r="IW654" s="74"/>
      <c r="IX654" s="74"/>
      <c r="IY654" s="74"/>
      <c r="IZ654" s="74"/>
      <c r="JA654" s="74"/>
    </row>
    <row r="655" spans="1:261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  <c r="IW655" s="74"/>
      <c r="IX655" s="74"/>
      <c r="IY655" s="74"/>
      <c r="IZ655" s="74"/>
      <c r="JA655" s="74"/>
    </row>
    <row r="656" spans="1:261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  <c r="IW656" s="74"/>
      <c r="IX656" s="74"/>
      <c r="IY656" s="74"/>
      <c r="IZ656" s="74"/>
      <c r="JA656" s="74"/>
    </row>
    <row r="657" spans="1:261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  <c r="IW657" s="74"/>
      <c r="IX657" s="74"/>
      <c r="IY657" s="74"/>
      <c r="IZ657" s="74"/>
      <c r="JA657" s="74"/>
    </row>
    <row r="658" spans="1:261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  <c r="IW658" s="74"/>
      <c r="IX658" s="74"/>
      <c r="IY658" s="74"/>
      <c r="IZ658" s="74"/>
      <c r="JA658" s="74"/>
    </row>
    <row r="659" spans="1:261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  <c r="IW659" s="74"/>
      <c r="IX659" s="74"/>
      <c r="IY659" s="74"/>
      <c r="IZ659" s="74"/>
      <c r="JA659" s="74"/>
    </row>
    <row r="660" spans="1:261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  <c r="IW660" s="74"/>
      <c r="IX660" s="74"/>
      <c r="IY660" s="74"/>
      <c r="IZ660" s="74"/>
      <c r="JA660" s="74"/>
    </row>
    <row r="661" spans="1:261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  <c r="IW661" s="74"/>
      <c r="IX661" s="74"/>
      <c r="IY661" s="74"/>
      <c r="IZ661" s="74"/>
      <c r="JA661" s="74"/>
    </row>
    <row r="662" spans="1:261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  <c r="IW662" s="74"/>
      <c r="IX662" s="74"/>
      <c r="IY662" s="74"/>
      <c r="IZ662" s="74"/>
      <c r="JA662" s="74"/>
    </row>
    <row r="663" spans="1:261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  <c r="IW663" s="74"/>
      <c r="IX663" s="74"/>
      <c r="IY663" s="74"/>
      <c r="IZ663" s="74"/>
      <c r="JA663" s="74"/>
    </row>
    <row r="664" spans="1:261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  <c r="IW664" s="74"/>
      <c r="IX664" s="74"/>
      <c r="IY664" s="74"/>
      <c r="IZ664" s="74"/>
      <c r="JA664" s="74"/>
    </row>
    <row r="665" spans="1:261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  <c r="IW665" s="74"/>
      <c r="IX665" s="74"/>
      <c r="IY665" s="74"/>
      <c r="IZ665" s="74"/>
      <c r="JA665" s="74"/>
    </row>
    <row r="666" spans="1:261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  <c r="IW666" s="74"/>
      <c r="IX666" s="74"/>
      <c r="IY666" s="74"/>
      <c r="IZ666" s="74"/>
      <c r="JA666" s="74"/>
    </row>
    <row r="667" spans="1:261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  <c r="IW667" s="74"/>
      <c r="IX667" s="74"/>
      <c r="IY667" s="74"/>
      <c r="IZ667" s="74"/>
      <c r="JA667" s="74"/>
    </row>
    <row r="668" spans="1:261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  <c r="IW668" s="74"/>
      <c r="IX668" s="74"/>
      <c r="IY668" s="74"/>
      <c r="IZ668" s="74"/>
      <c r="JA668" s="74"/>
    </row>
    <row r="669" spans="1:261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  <c r="IW669" s="74"/>
      <c r="IX669" s="74"/>
      <c r="IY669" s="74"/>
      <c r="IZ669" s="74"/>
      <c r="JA669" s="74"/>
    </row>
    <row r="670" spans="1:261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  <c r="IW670" s="74"/>
      <c r="IX670" s="74"/>
      <c r="IY670" s="74"/>
      <c r="IZ670" s="74"/>
      <c r="JA670" s="74"/>
    </row>
    <row r="671" spans="1:261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  <c r="IW671" s="74"/>
      <c r="IX671" s="74"/>
      <c r="IY671" s="74"/>
      <c r="IZ671" s="74"/>
      <c r="JA671" s="74"/>
    </row>
    <row r="672" spans="1:261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  <c r="IW672" s="74"/>
      <c r="IX672" s="74"/>
      <c r="IY672" s="74"/>
      <c r="IZ672" s="74"/>
      <c r="JA672" s="74"/>
    </row>
    <row r="673" spans="1:261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  <c r="IW673" s="74"/>
      <c r="IX673" s="74"/>
      <c r="IY673" s="74"/>
      <c r="IZ673" s="74"/>
      <c r="JA673" s="74"/>
    </row>
    <row r="674" spans="1:261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  <c r="IW674" s="74"/>
      <c r="IX674" s="74"/>
      <c r="IY674" s="74"/>
      <c r="IZ674" s="74"/>
      <c r="JA674" s="74"/>
    </row>
    <row r="675" spans="1:261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  <c r="IW675" s="74"/>
      <c r="IX675" s="74"/>
      <c r="IY675" s="74"/>
      <c r="IZ675" s="74"/>
      <c r="JA675" s="74"/>
    </row>
    <row r="676" spans="1:261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  <c r="IW676" s="74"/>
      <c r="IX676" s="74"/>
      <c r="IY676" s="74"/>
      <c r="IZ676" s="74"/>
      <c r="JA676" s="74"/>
    </row>
    <row r="677" spans="1:261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  <c r="IW677" s="74"/>
      <c r="IX677" s="74"/>
      <c r="IY677" s="74"/>
      <c r="IZ677" s="74"/>
      <c r="JA677" s="74"/>
    </row>
    <row r="678" spans="1:261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  <c r="IW678" s="74"/>
      <c r="IX678" s="74"/>
      <c r="IY678" s="74"/>
      <c r="IZ678" s="74"/>
      <c r="JA678" s="74"/>
    </row>
    <row r="679" spans="1:261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  <c r="IW679" s="74"/>
      <c r="IX679" s="74"/>
      <c r="IY679" s="74"/>
      <c r="IZ679" s="74"/>
      <c r="JA679" s="74"/>
    </row>
    <row r="680" spans="1:261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  <c r="IW680" s="74"/>
      <c r="IX680" s="74"/>
      <c r="IY680" s="74"/>
      <c r="IZ680" s="74"/>
      <c r="JA680" s="74"/>
    </row>
    <row r="681" spans="1:261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  <c r="IW681" s="74"/>
      <c r="IX681" s="74"/>
      <c r="IY681" s="74"/>
      <c r="IZ681" s="74"/>
      <c r="JA681" s="74"/>
    </row>
    <row r="682" spans="1:261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  <c r="IW682" s="74"/>
      <c r="IX682" s="74"/>
      <c r="IY682" s="74"/>
      <c r="IZ682" s="74"/>
      <c r="JA682" s="74"/>
    </row>
    <row r="683" spans="1:261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  <c r="IW683" s="74"/>
      <c r="IX683" s="74"/>
      <c r="IY683" s="74"/>
      <c r="IZ683" s="74"/>
      <c r="JA683" s="74"/>
    </row>
    <row r="684" spans="1:261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  <c r="IW684" s="74"/>
      <c r="IX684" s="74"/>
      <c r="IY684" s="74"/>
      <c r="IZ684" s="74"/>
      <c r="JA684" s="74"/>
    </row>
    <row r="685" spans="1:261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  <c r="IW685" s="74"/>
      <c r="IX685" s="74"/>
      <c r="IY685" s="74"/>
      <c r="IZ685" s="74"/>
      <c r="JA685" s="74"/>
    </row>
    <row r="686" spans="1:261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  <c r="IW686" s="74"/>
      <c r="IX686" s="74"/>
      <c r="IY686" s="74"/>
      <c r="IZ686" s="74"/>
      <c r="JA686" s="74"/>
    </row>
    <row r="687" spans="1:261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  <c r="IW687" s="74"/>
      <c r="IX687" s="74"/>
      <c r="IY687" s="74"/>
      <c r="IZ687" s="74"/>
      <c r="JA687" s="74"/>
    </row>
    <row r="688" spans="1:261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  <c r="IW688" s="74"/>
      <c r="IX688" s="74"/>
      <c r="IY688" s="74"/>
      <c r="IZ688" s="74"/>
      <c r="JA688" s="74"/>
    </row>
    <row r="689" spans="1:261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  <c r="IW689" s="74"/>
      <c r="IX689" s="74"/>
      <c r="IY689" s="74"/>
      <c r="IZ689" s="74"/>
      <c r="JA689" s="74"/>
    </row>
    <row r="690" spans="1:261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  <c r="IW690" s="74"/>
      <c r="IX690" s="74"/>
      <c r="IY690" s="74"/>
      <c r="IZ690" s="74"/>
      <c r="JA690" s="74"/>
    </row>
    <row r="691" spans="1:261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  <c r="IW691" s="74"/>
      <c r="IX691" s="74"/>
      <c r="IY691" s="74"/>
      <c r="IZ691" s="74"/>
      <c r="JA691" s="74"/>
    </row>
    <row r="692" spans="1:261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  <c r="IW692" s="74"/>
      <c r="IX692" s="74"/>
      <c r="IY692" s="74"/>
      <c r="IZ692" s="74"/>
      <c r="JA692" s="74"/>
    </row>
    <row r="693" spans="1:261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  <c r="IW693" s="74"/>
      <c r="IX693" s="74"/>
      <c r="IY693" s="74"/>
      <c r="IZ693" s="74"/>
      <c r="JA693" s="74"/>
    </row>
    <row r="694" spans="1:261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  <c r="IW694" s="74"/>
      <c r="IX694" s="74"/>
      <c r="IY694" s="74"/>
      <c r="IZ694" s="74"/>
      <c r="JA694" s="74"/>
    </row>
    <row r="695" spans="1:261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  <c r="IW695" s="74"/>
      <c r="IX695" s="74"/>
      <c r="IY695" s="74"/>
      <c r="IZ695" s="74"/>
      <c r="JA695" s="74"/>
    </row>
    <row r="696" spans="1:261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  <c r="IW696" s="74"/>
      <c r="IX696" s="74"/>
      <c r="IY696" s="74"/>
      <c r="IZ696" s="74"/>
      <c r="JA696" s="74"/>
    </row>
    <row r="697" spans="1:261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  <c r="IW697" s="74"/>
      <c r="IX697" s="74"/>
      <c r="IY697" s="74"/>
      <c r="IZ697" s="74"/>
      <c r="JA697" s="74"/>
    </row>
    <row r="698" spans="1:261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  <c r="IW698" s="74"/>
      <c r="IX698" s="74"/>
      <c r="IY698" s="74"/>
      <c r="IZ698" s="74"/>
      <c r="JA698" s="74"/>
    </row>
    <row r="699" spans="1:261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  <c r="IW699" s="74"/>
      <c r="IX699" s="74"/>
      <c r="IY699" s="74"/>
      <c r="IZ699" s="74"/>
      <c r="JA699" s="74"/>
    </row>
    <row r="700" spans="1:261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  <c r="IW700" s="74"/>
      <c r="IX700" s="74"/>
      <c r="IY700" s="74"/>
      <c r="IZ700" s="74"/>
      <c r="JA700" s="74"/>
    </row>
    <row r="701" spans="1:261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  <c r="IW701" s="74"/>
      <c r="IX701" s="74"/>
      <c r="IY701" s="74"/>
      <c r="IZ701" s="74"/>
      <c r="JA701" s="74"/>
    </row>
    <row r="702" spans="1:261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  <c r="IW702" s="74"/>
      <c r="IX702" s="74"/>
      <c r="IY702" s="74"/>
      <c r="IZ702" s="74"/>
      <c r="JA702" s="74"/>
    </row>
    <row r="703" spans="1:261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  <c r="IW703" s="74"/>
      <c r="IX703" s="74"/>
      <c r="IY703" s="74"/>
      <c r="IZ703" s="74"/>
      <c r="JA703" s="74"/>
    </row>
    <row r="704" spans="1:261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  <c r="IW704" s="74"/>
      <c r="IX704" s="74"/>
      <c r="IY704" s="74"/>
      <c r="IZ704" s="74"/>
      <c r="JA704" s="74"/>
    </row>
    <row r="705" spans="1:261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  <c r="IW705" s="74"/>
      <c r="IX705" s="74"/>
      <c r="IY705" s="74"/>
      <c r="IZ705" s="74"/>
      <c r="JA705" s="74"/>
    </row>
    <row r="706" spans="1:261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  <c r="IW706" s="74"/>
      <c r="IX706" s="74"/>
      <c r="IY706" s="74"/>
      <c r="IZ706" s="74"/>
      <c r="JA706" s="74"/>
    </row>
    <row r="707" spans="1:261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  <c r="IW707" s="74"/>
      <c r="IX707" s="74"/>
      <c r="IY707" s="74"/>
      <c r="IZ707" s="74"/>
      <c r="JA707" s="74"/>
    </row>
    <row r="708" spans="1:261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  <c r="IW708" s="74"/>
      <c r="IX708" s="74"/>
      <c r="IY708" s="74"/>
      <c r="IZ708" s="74"/>
      <c r="JA708" s="74"/>
    </row>
    <row r="709" spans="1:261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  <c r="IW709" s="74"/>
      <c r="IX709" s="74"/>
      <c r="IY709" s="74"/>
      <c r="IZ709" s="74"/>
      <c r="JA709" s="74"/>
    </row>
    <row r="710" spans="1:261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  <c r="IW710" s="74"/>
      <c r="IX710" s="74"/>
      <c r="IY710" s="74"/>
      <c r="IZ710" s="74"/>
      <c r="JA710" s="74"/>
    </row>
    <row r="711" spans="1:261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  <c r="IW711" s="74"/>
      <c r="IX711" s="74"/>
      <c r="IY711" s="74"/>
      <c r="IZ711" s="74"/>
      <c r="JA711" s="74"/>
    </row>
    <row r="712" spans="1:261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  <c r="IW712" s="74"/>
      <c r="IX712" s="74"/>
      <c r="IY712" s="74"/>
      <c r="IZ712" s="74"/>
      <c r="JA712" s="74"/>
    </row>
    <row r="713" spans="1:261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  <c r="IW713" s="74"/>
      <c r="IX713" s="74"/>
      <c r="IY713" s="74"/>
      <c r="IZ713" s="74"/>
      <c r="JA713" s="74"/>
    </row>
    <row r="714" spans="1:261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  <c r="IW714" s="74"/>
      <c r="IX714" s="74"/>
      <c r="IY714" s="74"/>
      <c r="IZ714" s="74"/>
      <c r="JA714" s="74"/>
    </row>
    <row r="715" spans="1:261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  <c r="IW715" s="74"/>
      <c r="IX715" s="74"/>
      <c r="IY715" s="74"/>
      <c r="IZ715" s="74"/>
      <c r="JA715" s="74"/>
    </row>
    <row r="716" spans="1:261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  <c r="IW716" s="74"/>
      <c r="IX716" s="74"/>
      <c r="IY716" s="74"/>
      <c r="IZ716" s="74"/>
      <c r="JA716" s="74"/>
    </row>
    <row r="717" spans="1:261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  <c r="IW717" s="74"/>
      <c r="IX717" s="74"/>
      <c r="IY717" s="74"/>
      <c r="IZ717" s="74"/>
      <c r="JA717" s="74"/>
    </row>
    <row r="718" spans="1:261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  <c r="IW718" s="74"/>
      <c r="IX718" s="74"/>
      <c r="IY718" s="74"/>
      <c r="IZ718" s="74"/>
      <c r="JA718" s="74"/>
    </row>
    <row r="719" spans="1:261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  <c r="IW719" s="74"/>
      <c r="IX719" s="74"/>
      <c r="IY719" s="74"/>
      <c r="IZ719" s="74"/>
      <c r="JA719" s="74"/>
    </row>
    <row r="720" spans="1:261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  <c r="IW720" s="74"/>
      <c r="IX720" s="74"/>
      <c r="IY720" s="74"/>
      <c r="IZ720" s="74"/>
      <c r="JA720" s="74"/>
    </row>
    <row r="721" spans="1:261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  <c r="IW721" s="74"/>
      <c r="IX721" s="74"/>
      <c r="IY721" s="74"/>
      <c r="IZ721" s="74"/>
      <c r="JA721" s="74"/>
    </row>
    <row r="722" spans="1:261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  <c r="IW722" s="74"/>
      <c r="IX722" s="74"/>
      <c r="IY722" s="74"/>
      <c r="IZ722" s="74"/>
      <c r="JA722" s="74"/>
    </row>
    <row r="723" spans="1:261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  <c r="IW723" s="74"/>
      <c r="IX723" s="74"/>
      <c r="IY723" s="74"/>
      <c r="IZ723" s="74"/>
      <c r="JA723" s="74"/>
    </row>
    <row r="724" spans="1:261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  <c r="IW724" s="74"/>
      <c r="IX724" s="74"/>
      <c r="IY724" s="74"/>
      <c r="IZ724" s="74"/>
      <c r="JA724" s="74"/>
    </row>
    <row r="725" spans="1:261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  <c r="IW725" s="74"/>
      <c r="IX725" s="74"/>
      <c r="IY725" s="74"/>
      <c r="IZ725" s="74"/>
      <c r="JA725" s="74"/>
    </row>
    <row r="726" spans="1:261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  <c r="IW726" s="74"/>
      <c r="IX726" s="74"/>
      <c r="IY726" s="74"/>
      <c r="IZ726" s="74"/>
      <c r="JA726" s="74"/>
    </row>
    <row r="727" spans="1:261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  <c r="IW727" s="74"/>
      <c r="IX727" s="74"/>
      <c r="IY727" s="74"/>
      <c r="IZ727" s="74"/>
      <c r="JA727" s="74"/>
    </row>
    <row r="728" spans="1:261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  <c r="IW728" s="74"/>
      <c r="IX728" s="74"/>
      <c r="IY728" s="74"/>
      <c r="IZ728" s="74"/>
      <c r="JA728" s="74"/>
    </row>
    <row r="729" spans="1:261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  <c r="IW729" s="74"/>
      <c r="IX729" s="74"/>
      <c r="IY729" s="74"/>
      <c r="IZ729" s="74"/>
      <c r="JA729" s="74"/>
    </row>
    <row r="730" spans="1:261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  <c r="IW730" s="74"/>
      <c r="IX730" s="74"/>
      <c r="IY730" s="74"/>
      <c r="IZ730" s="74"/>
      <c r="JA730" s="74"/>
    </row>
    <row r="731" spans="1:261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  <c r="IW731" s="74"/>
      <c r="IX731" s="74"/>
      <c r="IY731" s="74"/>
      <c r="IZ731" s="74"/>
      <c r="JA731" s="74"/>
    </row>
    <row r="732" spans="1:261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  <c r="IW732" s="74"/>
      <c r="IX732" s="74"/>
      <c r="IY732" s="74"/>
      <c r="IZ732" s="74"/>
      <c r="JA732" s="74"/>
    </row>
    <row r="733" spans="1:261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  <c r="IW733" s="74"/>
      <c r="IX733" s="74"/>
      <c r="IY733" s="74"/>
      <c r="IZ733" s="74"/>
      <c r="JA733" s="74"/>
    </row>
    <row r="734" spans="1:261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  <c r="IW734" s="74"/>
      <c r="IX734" s="74"/>
      <c r="IY734" s="74"/>
      <c r="IZ734" s="74"/>
      <c r="JA734" s="74"/>
    </row>
    <row r="735" spans="1:261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  <c r="IW735" s="74"/>
      <c r="IX735" s="74"/>
      <c r="IY735" s="74"/>
      <c r="IZ735" s="74"/>
      <c r="JA735" s="74"/>
    </row>
    <row r="736" spans="1:261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  <c r="IW736" s="74"/>
      <c r="IX736" s="74"/>
      <c r="IY736" s="74"/>
      <c r="IZ736" s="74"/>
      <c r="JA736" s="74"/>
    </row>
    <row r="737" spans="1:261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  <c r="IW737" s="74"/>
      <c r="IX737" s="74"/>
      <c r="IY737" s="74"/>
      <c r="IZ737" s="74"/>
      <c r="JA737" s="74"/>
    </row>
    <row r="738" spans="1:261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  <c r="IW738" s="74"/>
      <c r="IX738" s="74"/>
      <c r="IY738" s="74"/>
      <c r="IZ738" s="74"/>
      <c r="JA738" s="74"/>
    </row>
    <row r="739" spans="1:261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  <c r="IW739" s="74"/>
      <c r="IX739" s="74"/>
      <c r="IY739" s="74"/>
      <c r="IZ739" s="74"/>
      <c r="JA739" s="74"/>
    </row>
    <row r="740" spans="1:261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  <c r="IW740" s="74"/>
      <c r="IX740" s="74"/>
      <c r="IY740" s="74"/>
      <c r="IZ740" s="74"/>
      <c r="JA740" s="74"/>
    </row>
    <row r="741" spans="1:261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  <c r="IW741" s="74"/>
      <c r="IX741" s="74"/>
      <c r="IY741" s="74"/>
      <c r="IZ741" s="74"/>
      <c r="JA741" s="74"/>
    </row>
    <row r="742" spans="1:261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  <c r="IW742" s="74"/>
      <c r="IX742" s="74"/>
      <c r="IY742" s="74"/>
      <c r="IZ742" s="74"/>
      <c r="JA742" s="74"/>
    </row>
    <row r="743" spans="1:261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  <c r="IW743" s="74"/>
      <c r="IX743" s="74"/>
      <c r="IY743" s="74"/>
      <c r="IZ743" s="74"/>
      <c r="JA743" s="74"/>
    </row>
    <row r="744" spans="1:261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  <c r="IW744" s="74"/>
      <c r="IX744" s="74"/>
      <c r="IY744" s="74"/>
      <c r="IZ744" s="74"/>
      <c r="JA744" s="74"/>
    </row>
    <row r="745" spans="1:261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  <c r="IW745" s="74"/>
      <c r="IX745" s="74"/>
      <c r="IY745" s="74"/>
      <c r="IZ745" s="74"/>
      <c r="JA745" s="74"/>
    </row>
    <row r="746" spans="1:261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  <c r="IW746" s="74"/>
      <c r="IX746" s="74"/>
      <c r="IY746" s="74"/>
      <c r="IZ746" s="74"/>
      <c r="JA746" s="74"/>
    </row>
    <row r="747" spans="1:261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  <c r="IW747" s="74"/>
      <c r="IX747" s="74"/>
      <c r="IY747" s="74"/>
      <c r="IZ747" s="74"/>
      <c r="JA747" s="74"/>
    </row>
    <row r="748" spans="1:261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  <c r="IW748" s="74"/>
      <c r="IX748" s="74"/>
      <c r="IY748" s="74"/>
      <c r="IZ748" s="74"/>
      <c r="JA748" s="74"/>
    </row>
    <row r="749" spans="1:261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  <c r="IW749" s="74"/>
      <c r="IX749" s="74"/>
      <c r="IY749" s="74"/>
      <c r="IZ749" s="74"/>
      <c r="JA749" s="74"/>
    </row>
    <row r="750" spans="1:261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  <c r="IW750" s="74"/>
      <c r="IX750" s="74"/>
      <c r="IY750" s="74"/>
      <c r="IZ750" s="74"/>
      <c r="JA750" s="74"/>
    </row>
    <row r="751" spans="1:261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  <c r="IW751" s="74"/>
      <c r="IX751" s="74"/>
      <c r="IY751" s="74"/>
      <c r="IZ751" s="74"/>
      <c r="JA751" s="74"/>
    </row>
    <row r="752" spans="1:261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  <c r="IW752" s="74"/>
      <c r="IX752" s="74"/>
      <c r="IY752" s="74"/>
      <c r="IZ752" s="74"/>
      <c r="JA752" s="74"/>
    </row>
    <row r="753" spans="1:261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  <c r="IW753" s="74"/>
      <c r="IX753" s="74"/>
      <c r="IY753" s="74"/>
      <c r="IZ753" s="74"/>
      <c r="JA753" s="74"/>
    </row>
    <row r="754" spans="1:261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  <c r="IW754" s="74"/>
      <c r="IX754" s="74"/>
      <c r="IY754" s="74"/>
      <c r="IZ754" s="74"/>
      <c r="JA754" s="74"/>
    </row>
    <row r="755" spans="1:261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  <c r="IW755" s="74"/>
      <c r="IX755" s="74"/>
      <c r="IY755" s="74"/>
      <c r="IZ755" s="74"/>
      <c r="JA755" s="74"/>
    </row>
    <row r="756" spans="1:261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  <c r="IW756" s="74"/>
      <c r="IX756" s="74"/>
      <c r="IY756" s="74"/>
      <c r="IZ756" s="74"/>
      <c r="JA756" s="74"/>
    </row>
    <row r="757" spans="1:261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  <c r="IW757" s="74"/>
      <c r="IX757" s="74"/>
      <c r="IY757" s="74"/>
      <c r="IZ757" s="74"/>
      <c r="JA757" s="74"/>
    </row>
    <row r="758" spans="1:261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  <c r="IW758" s="74"/>
      <c r="IX758" s="74"/>
      <c r="IY758" s="74"/>
      <c r="IZ758" s="74"/>
      <c r="JA758" s="74"/>
    </row>
    <row r="759" spans="1:261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  <c r="IW759" s="74"/>
      <c r="IX759" s="74"/>
      <c r="IY759" s="74"/>
      <c r="IZ759" s="74"/>
      <c r="JA759" s="74"/>
    </row>
    <row r="760" spans="1:261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  <c r="IW760" s="74"/>
      <c r="IX760" s="74"/>
      <c r="IY760" s="74"/>
      <c r="IZ760" s="74"/>
      <c r="JA760" s="74"/>
    </row>
    <row r="761" spans="1:261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  <c r="IW761" s="74"/>
      <c r="IX761" s="74"/>
      <c r="IY761" s="74"/>
      <c r="IZ761" s="74"/>
      <c r="JA761" s="74"/>
    </row>
    <row r="762" spans="1:261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  <c r="IW762" s="74"/>
      <c r="IX762" s="74"/>
      <c r="IY762" s="74"/>
      <c r="IZ762" s="74"/>
      <c r="JA762" s="74"/>
    </row>
    <row r="763" spans="1:261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  <c r="IW763" s="74"/>
      <c r="IX763" s="74"/>
      <c r="IY763" s="74"/>
      <c r="IZ763" s="74"/>
      <c r="JA763" s="74"/>
    </row>
    <row r="764" spans="1:261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  <c r="IW764" s="74"/>
      <c r="IX764" s="74"/>
      <c r="IY764" s="74"/>
      <c r="IZ764" s="74"/>
      <c r="JA764" s="74"/>
    </row>
    <row r="765" spans="1:261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  <c r="IW765" s="74"/>
      <c r="IX765" s="74"/>
      <c r="IY765" s="74"/>
      <c r="IZ765" s="74"/>
      <c r="JA765" s="74"/>
    </row>
    <row r="766" spans="1:261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  <c r="IW766" s="74"/>
      <c r="IX766" s="74"/>
      <c r="IY766" s="74"/>
      <c r="IZ766" s="74"/>
      <c r="JA766" s="74"/>
    </row>
    <row r="767" spans="1:261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  <c r="IW767" s="74"/>
      <c r="IX767" s="74"/>
      <c r="IY767" s="74"/>
      <c r="IZ767" s="74"/>
      <c r="JA767" s="74"/>
    </row>
    <row r="768" spans="1:261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  <c r="IW768" s="74"/>
      <c r="IX768" s="74"/>
      <c r="IY768" s="74"/>
      <c r="IZ768" s="74"/>
      <c r="JA768" s="74"/>
    </row>
    <row r="769" spans="1:261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  <c r="IW769" s="74"/>
      <c r="IX769" s="74"/>
      <c r="IY769" s="74"/>
      <c r="IZ769" s="74"/>
      <c r="JA769" s="74"/>
    </row>
    <row r="770" spans="1:261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  <c r="IW770" s="74"/>
      <c r="IX770" s="74"/>
      <c r="IY770" s="74"/>
      <c r="IZ770" s="74"/>
      <c r="JA770" s="74"/>
    </row>
    <row r="771" spans="1:261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  <c r="IW771" s="74"/>
      <c r="IX771" s="74"/>
      <c r="IY771" s="74"/>
      <c r="IZ771" s="74"/>
      <c r="JA771" s="74"/>
    </row>
    <row r="772" spans="1:261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  <c r="IW772" s="74"/>
      <c r="IX772" s="74"/>
      <c r="IY772" s="74"/>
      <c r="IZ772" s="74"/>
      <c r="JA772" s="74"/>
    </row>
    <row r="773" spans="1:261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  <c r="IW773" s="74"/>
      <c r="IX773" s="74"/>
      <c r="IY773" s="74"/>
      <c r="IZ773" s="74"/>
      <c r="JA773" s="74"/>
    </row>
    <row r="774" spans="1:261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  <c r="IW774" s="74"/>
      <c r="IX774" s="74"/>
      <c r="IY774" s="74"/>
      <c r="IZ774" s="74"/>
      <c r="JA774" s="74"/>
    </row>
    <row r="775" spans="1:261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  <c r="IW775" s="74"/>
      <c r="IX775" s="74"/>
      <c r="IY775" s="74"/>
      <c r="IZ775" s="74"/>
      <c r="JA775" s="74"/>
    </row>
    <row r="776" spans="1:261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  <c r="IW776" s="74"/>
      <c r="IX776" s="74"/>
      <c r="IY776" s="74"/>
      <c r="IZ776" s="74"/>
      <c r="JA776" s="74"/>
    </row>
    <row r="777" spans="1:261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  <c r="IW777" s="74"/>
      <c r="IX777" s="74"/>
      <c r="IY777" s="74"/>
      <c r="IZ777" s="74"/>
      <c r="JA777" s="74"/>
    </row>
    <row r="778" spans="1:261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  <c r="IW778" s="74"/>
      <c r="IX778" s="74"/>
      <c r="IY778" s="74"/>
      <c r="IZ778" s="74"/>
      <c r="JA778" s="74"/>
    </row>
    <row r="779" spans="1:261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  <c r="IW779" s="74"/>
      <c r="IX779" s="74"/>
      <c r="IY779" s="74"/>
      <c r="IZ779" s="74"/>
      <c r="JA779" s="74"/>
    </row>
    <row r="780" spans="1:261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  <c r="IW780" s="74"/>
      <c r="IX780" s="74"/>
      <c r="IY780" s="74"/>
      <c r="IZ780" s="74"/>
      <c r="JA780" s="74"/>
    </row>
    <row r="781" spans="1:261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  <c r="IW781" s="74"/>
      <c r="IX781" s="74"/>
      <c r="IY781" s="74"/>
      <c r="IZ781" s="74"/>
      <c r="JA781" s="74"/>
    </row>
    <row r="782" spans="1:261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  <c r="IW782" s="74"/>
      <c r="IX782" s="74"/>
      <c r="IY782" s="74"/>
      <c r="IZ782" s="74"/>
      <c r="JA782" s="74"/>
    </row>
    <row r="783" spans="1:261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  <c r="IW783" s="74"/>
      <c r="IX783" s="74"/>
      <c r="IY783" s="74"/>
      <c r="IZ783" s="74"/>
      <c r="JA783" s="74"/>
    </row>
    <row r="784" spans="1:261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  <c r="IW784" s="74"/>
      <c r="IX784" s="74"/>
      <c r="IY784" s="74"/>
      <c r="IZ784" s="74"/>
      <c r="JA784" s="74"/>
    </row>
    <row r="785" spans="1:261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  <c r="IW785" s="74"/>
      <c r="IX785" s="74"/>
      <c r="IY785" s="74"/>
      <c r="IZ785" s="74"/>
      <c r="JA785" s="74"/>
    </row>
    <row r="786" spans="1:261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  <c r="IW786" s="74"/>
      <c r="IX786" s="74"/>
      <c r="IY786" s="74"/>
      <c r="IZ786" s="74"/>
      <c r="JA786" s="74"/>
    </row>
    <row r="787" spans="1:261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  <c r="IW787" s="74"/>
      <c r="IX787" s="74"/>
      <c r="IY787" s="74"/>
      <c r="IZ787" s="74"/>
      <c r="JA787" s="74"/>
    </row>
    <row r="788" spans="1:261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  <c r="IW788" s="74"/>
      <c r="IX788" s="74"/>
      <c r="IY788" s="74"/>
      <c r="IZ788" s="74"/>
      <c r="JA788" s="74"/>
    </row>
    <row r="789" spans="1:261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  <c r="IW789" s="74"/>
      <c r="IX789" s="74"/>
      <c r="IY789" s="74"/>
      <c r="IZ789" s="74"/>
      <c r="JA789" s="74"/>
    </row>
    <row r="790" spans="1:261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  <c r="IW790" s="74"/>
      <c r="IX790" s="74"/>
      <c r="IY790" s="74"/>
      <c r="IZ790" s="74"/>
      <c r="JA790" s="74"/>
    </row>
    <row r="791" spans="1:261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  <c r="IW791" s="74"/>
      <c r="IX791" s="74"/>
      <c r="IY791" s="74"/>
      <c r="IZ791" s="74"/>
      <c r="JA791" s="74"/>
    </row>
    <row r="792" spans="1:261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  <c r="IW792" s="74"/>
      <c r="IX792" s="74"/>
      <c r="IY792" s="74"/>
      <c r="IZ792" s="74"/>
      <c r="JA792" s="74"/>
    </row>
    <row r="793" spans="1:261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  <c r="IW793" s="74"/>
      <c r="IX793" s="74"/>
      <c r="IY793" s="74"/>
      <c r="IZ793" s="74"/>
      <c r="JA793" s="74"/>
    </row>
    <row r="794" spans="1:261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  <c r="IW794" s="74"/>
      <c r="IX794" s="74"/>
      <c r="IY794" s="74"/>
      <c r="IZ794" s="74"/>
      <c r="JA794" s="74"/>
    </row>
    <row r="795" spans="1:261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  <c r="IW795" s="74"/>
      <c r="IX795" s="74"/>
      <c r="IY795" s="74"/>
      <c r="IZ795" s="74"/>
      <c r="JA795" s="74"/>
    </row>
    <row r="796" spans="1:261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  <c r="IW796" s="74"/>
      <c r="IX796" s="74"/>
      <c r="IY796" s="74"/>
      <c r="IZ796" s="74"/>
      <c r="JA796" s="74"/>
    </row>
    <row r="797" spans="1:261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  <c r="IW797" s="74"/>
      <c r="IX797" s="74"/>
      <c r="IY797" s="74"/>
      <c r="IZ797" s="74"/>
      <c r="JA797" s="74"/>
    </row>
    <row r="798" spans="1:261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  <c r="IW798" s="74"/>
      <c r="IX798" s="74"/>
      <c r="IY798" s="74"/>
      <c r="IZ798" s="74"/>
      <c r="JA798" s="74"/>
    </row>
    <row r="799" spans="1:261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  <c r="IW799" s="74"/>
      <c r="IX799" s="74"/>
      <c r="IY799" s="74"/>
      <c r="IZ799" s="74"/>
      <c r="JA799" s="74"/>
    </row>
    <row r="800" spans="1:261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  <c r="IW800" s="74"/>
      <c r="IX800" s="74"/>
      <c r="IY800" s="74"/>
      <c r="IZ800" s="74"/>
      <c r="JA800" s="74"/>
    </row>
    <row r="801" spans="1:261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  <c r="IW801" s="74"/>
      <c r="IX801" s="74"/>
      <c r="IY801" s="74"/>
      <c r="IZ801" s="74"/>
      <c r="JA801" s="74"/>
    </row>
    <row r="802" spans="1:261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  <c r="IW802" s="74"/>
      <c r="IX802" s="74"/>
      <c r="IY802" s="74"/>
      <c r="IZ802" s="74"/>
      <c r="JA802" s="74"/>
    </row>
    <row r="803" spans="1:261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  <c r="IW803" s="74"/>
      <c r="IX803" s="74"/>
      <c r="IY803" s="74"/>
      <c r="IZ803" s="74"/>
      <c r="JA803" s="74"/>
    </row>
    <row r="804" spans="1:261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  <c r="IW804" s="74"/>
      <c r="IX804" s="74"/>
      <c r="IY804" s="74"/>
      <c r="IZ804" s="74"/>
      <c r="JA804" s="74"/>
    </row>
    <row r="805" spans="1:261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  <c r="IW805" s="74"/>
      <c r="IX805" s="74"/>
      <c r="IY805" s="74"/>
      <c r="IZ805" s="74"/>
      <c r="JA805" s="74"/>
    </row>
    <row r="806" spans="1:261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  <c r="IW806" s="74"/>
      <c r="IX806" s="74"/>
      <c r="IY806" s="74"/>
      <c r="IZ806" s="74"/>
      <c r="JA806" s="74"/>
    </row>
    <row r="807" spans="1:261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  <c r="IW807" s="74"/>
      <c r="IX807" s="74"/>
      <c r="IY807" s="74"/>
      <c r="IZ807" s="74"/>
      <c r="JA807" s="74"/>
    </row>
    <row r="808" spans="1:261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  <c r="IW808" s="74"/>
      <c r="IX808" s="74"/>
      <c r="IY808" s="74"/>
      <c r="IZ808" s="74"/>
      <c r="JA808" s="74"/>
    </row>
    <row r="809" spans="1:261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  <c r="IW809" s="74"/>
      <c r="IX809" s="74"/>
      <c r="IY809" s="74"/>
      <c r="IZ809" s="74"/>
      <c r="JA809" s="74"/>
    </row>
    <row r="810" spans="1:261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  <c r="IW810" s="74"/>
      <c r="IX810" s="74"/>
      <c r="IY810" s="74"/>
      <c r="IZ810" s="74"/>
      <c r="JA810" s="74"/>
    </row>
    <row r="811" spans="1:261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  <c r="IW811" s="74"/>
      <c r="IX811" s="74"/>
      <c r="IY811" s="74"/>
      <c r="IZ811" s="74"/>
      <c r="JA811" s="74"/>
    </row>
    <row r="812" spans="1:261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  <c r="IW812" s="74"/>
      <c r="IX812" s="74"/>
      <c r="IY812" s="74"/>
      <c r="IZ812" s="74"/>
      <c r="JA812" s="74"/>
    </row>
    <row r="813" spans="1:261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  <c r="IW813" s="74"/>
      <c r="IX813" s="74"/>
      <c r="IY813" s="74"/>
      <c r="IZ813" s="74"/>
      <c r="JA813" s="74"/>
    </row>
    <row r="814" spans="1:261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  <c r="IW814" s="74"/>
      <c r="IX814" s="74"/>
      <c r="IY814" s="74"/>
      <c r="IZ814" s="74"/>
      <c r="JA814" s="74"/>
    </row>
    <row r="815" spans="1:261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  <c r="IW815" s="74"/>
      <c r="IX815" s="74"/>
      <c r="IY815" s="74"/>
      <c r="IZ815" s="74"/>
      <c r="JA815" s="74"/>
    </row>
    <row r="816" spans="1:261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  <c r="IW816" s="74"/>
      <c r="IX816" s="74"/>
      <c r="IY816" s="74"/>
      <c r="IZ816" s="74"/>
      <c r="JA816" s="74"/>
    </row>
    <row r="817" spans="1:261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  <c r="IW817" s="74"/>
      <c r="IX817" s="74"/>
      <c r="IY817" s="74"/>
      <c r="IZ817" s="74"/>
      <c r="JA817" s="74"/>
    </row>
    <row r="818" spans="1:261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  <c r="IW818" s="74"/>
      <c r="IX818" s="74"/>
      <c r="IY818" s="74"/>
      <c r="IZ818" s="74"/>
      <c r="JA818" s="74"/>
    </row>
    <row r="819" spans="1:261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  <c r="IW819" s="74"/>
      <c r="IX819" s="74"/>
      <c r="IY819" s="74"/>
      <c r="IZ819" s="74"/>
      <c r="JA819" s="74"/>
    </row>
    <row r="820" spans="1:261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  <c r="IW820" s="74"/>
      <c r="IX820" s="74"/>
      <c r="IY820" s="74"/>
      <c r="IZ820" s="74"/>
      <c r="JA820" s="74"/>
    </row>
    <row r="821" spans="1:261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  <c r="IW821" s="74"/>
      <c r="IX821" s="74"/>
      <c r="IY821" s="74"/>
      <c r="IZ821" s="74"/>
      <c r="JA821" s="74"/>
    </row>
    <row r="822" spans="1:261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  <c r="IW822" s="74"/>
      <c r="IX822" s="74"/>
      <c r="IY822" s="74"/>
      <c r="IZ822" s="74"/>
      <c r="JA822" s="74"/>
    </row>
    <row r="823" spans="1:261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  <c r="IW823" s="74"/>
      <c r="IX823" s="74"/>
      <c r="IY823" s="74"/>
      <c r="IZ823" s="74"/>
      <c r="JA823" s="74"/>
    </row>
    <row r="824" spans="1:261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  <c r="IW824" s="74"/>
      <c r="IX824" s="74"/>
      <c r="IY824" s="74"/>
      <c r="IZ824" s="74"/>
      <c r="JA824" s="74"/>
    </row>
    <row r="825" spans="1:261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  <c r="IW825" s="74"/>
      <c r="IX825" s="74"/>
      <c r="IY825" s="74"/>
      <c r="IZ825" s="74"/>
      <c r="JA825" s="74"/>
    </row>
    <row r="826" spans="1:261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  <c r="IW826" s="74"/>
      <c r="IX826" s="74"/>
      <c r="IY826" s="74"/>
      <c r="IZ826" s="74"/>
      <c r="JA826" s="74"/>
    </row>
    <row r="827" spans="1:261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  <c r="IW827" s="74"/>
      <c r="IX827" s="74"/>
      <c r="IY827" s="74"/>
      <c r="IZ827" s="74"/>
      <c r="JA827" s="74"/>
    </row>
    <row r="828" spans="1:261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  <c r="IW828" s="74"/>
      <c r="IX828" s="74"/>
      <c r="IY828" s="74"/>
      <c r="IZ828" s="74"/>
      <c r="JA828" s="74"/>
    </row>
    <row r="829" spans="1:261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  <c r="IW829" s="74"/>
      <c r="IX829" s="74"/>
      <c r="IY829" s="74"/>
      <c r="IZ829" s="74"/>
      <c r="JA829" s="74"/>
    </row>
    <row r="830" spans="1:261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  <c r="IW830" s="74"/>
      <c r="IX830" s="74"/>
      <c r="IY830" s="74"/>
      <c r="IZ830" s="74"/>
      <c r="JA830" s="74"/>
    </row>
    <row r="831" spans="1:261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  <c r="IW831" s="74"/>
      <c r="IX831" s="74"/>
      <c r="IY831" s="74"/>
      <c r="IZ831" s="74"/>
      <c r="JA831" s="74"/>
    </row>
    <row r="832" spans="1:261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  <c r="IW832" s="74"/>
      <c r="IX832" s="74"/>
      <c r="IY832" s="74"/>
      <c r="IZ832" s="74"/>
      <c r="JA832" s="74"/>
    </row>
    <row r="833" spans="1:261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  <c r="IW833" s="74"/>
      <c r="IX833" s="74"/>
      <c r="IY833" s="74"/>
      <c r="IZ833" s="74"/>
      <c r="JA833" s="74"/>
    </row>
    <row r="834" spans="1:261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  <c r="IW834" s="74"/>
      <c r="IX834" s="74"/>
      <c r="IY834" s="74"/>
      <c r="IZ834" s="74"/>
      <c r="JA834" s="74"/>
    </row>
    <row r="835" spans="1:261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  <c r="IW835" s="74"/>
      <c r="IX835" s="74"/>
      <c r="IY835" s="74"/>
      <c r="IZ835" s="74"/>
      <c r="JA835" s="74"/>
    </row>
    <row r="836" spans="1:261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  <c r="IW836" s="74"/>
      <c r="IX836" s="74"/>
      <c r="IY836" s="74"/>
      <c r="IZ836" s="74"/>
      <c r="JA836" s="74"/>
    </row>
    <row r="837" spans="1:261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  <c r="IW837" s="74"/>
      <c r="IX837" s="74"/>
      <c r="IY837" s="74"/>
      <c r="IZ837" s="74"/>
      <c r="JA837" s="74"/>
    </row>
    <row r="838" spans="1:261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  <c r="IW838" s="74"/>
      <c r="IX838" s="74"/>
      <c r="IY838" s="74"/>
      <c r="IZ838" s="74"/>
      <c r="JA838" s="74"/>
    </row>
    <row r="839" spans="1:261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  <c r="IW839" s="74"/>
      <c r="IX839" s="74"/>
      <c r="IY839" s="74"/>
      <c r="IZ839" s="74"/>
      <c r="JA839" s="74"/>
    </row>
    <row r="840" spans="1:261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  <c r="IW840" s="74"/>
      <c r="IX840" s="74"/>
      <c r="IY840" s="74"/>
      <c r="IZ840" s="74"/>
      <c r="JA840" s="74"/>
    </row>
    <row r="841" spans="1:261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  <c r="IW841" s="74"/>
      <c r="IX841" s="74"/>
      <c r="IY841" s="74"/>
      <c r="IZ841" s="74"/>
      <c r="JA841" s="74"/>
    </row>
    <row r="842" spans="1:261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  <c r="IW842" s="74"/>
      <c r="IX842" s="74"/>
      <c r="IY842" s="74"/>
      <c r="IZ842" s="74"/>
      <c r="JA842" s="74"/>
    </row>
    <row r="843" spans="1:261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  <c r="IW843" s="74"/>
      <c r="IX843" s="74"/>
      <c r="IY843" s="74"/>
      <c r="IZ843" s="74"/>
      <c r="JA843" s="74"/>
    </row>
    <row r="844" spans="1:261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  <c r="IW844" s="74"/>
      <c r="IX844" s="74"/>
      <c r="IY844" s="74"/>
      <c r="IZ844" s="74"/>
      <c r="JA844" s="74"/>
    </row>
    <row r="845" spans="1:261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  <c r="IW845" s="74"/>
      <c r="IX845" s="74"/>
      <c r="IY845" s="74"/>
      <c r="IZ845" s="74"/>
      <c r="JA845" s="74"/>
    </row>
    <row r="846" spans="1:261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  <c r="IW846" s="74"/>
      <c r="IX846" s="74"/>
      <c r="IY846" s="74"/>
      <c r="IZ846" s="74"/>
      <c r="JA846" s="74"/>
    </row>
    <row r="847" spans="1:261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  <c r="IW847" s="74"/>
      <c r="IX847" s="74"/>
      <c r="IY847" s="74"/>
      <c r="IZ847" s="74"/>
      <c r="JA847" s="74"/>
    </row>
    <row r="848" spans="1:261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  <c r="IW848" s="74"/>
      <c r="IX848" s="74"/>
      <c r="IY848" s="74"/>
      <c r="IZ848" s="74"/>
      <c r="JA848" s="74"/>
    </row>
    <row r="849" spans="1:261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  <c r="IW849" s="74"/>
      <c r="IX849" s="74"/>
      <c r="IY849" s="74"/>
      <c r="IZ849" s="74"/>
      <c r="JA849" s="74"/>
    </row>
    <row r="850" spans="1:261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  <c r="IW850" s="74"/>
      <c r="IX850" s="74"/>
      <c r="IY850" s="74"/>
      <c r="IZ850" s="74"/>
      <c r="JA850" s="74"/>
    </row>
    <row r="851" spans="1:261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  <c r="IW851" s="74"/>
      <c r="IX851" s="74"/>
      <c r="IY851" s="74"/>
      <c r="IZ851" s="74"/>
      <c r="JA851" s="74"/>
    </row>
    <row r="852" spans="1:261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  <c r="IW852" s="74"/>
      <c r="IX852" s="74"/>
      <c r="IY852" s="74"/>
      <c r="IZ852" s="74"/>
      <c r="JA852" s="74"/>
    </row>
    <row r="853" spans="1:261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  <c r="IW853" s="74"/>
      <c r="IX853" s="74"/>
      <c r="IY853" s="74"/>
      <c r="IZ853" s="74"/>
      <c r="JA853" s="74"/>
    </row>
    <row r="854" spans="1:261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  <c r="IW854" s="74"/>
      <c r="IX854" s="74"/>
      <c r="IY854" s="74"/>
      <c r="IZ854" s="74"/>
      <c r="JA854" s="74"/>
    </row>
    <row r="855" spans="1:261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  <c r="IW855" s="74"/>
      <c r="IX855" s="74"/>
      <c r="IY855" s="74"/>
      <c r="IZ855" s="74"/>
      <c r="JA855" s="74"/>
    </row>
    <row r="856" spans="1:261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  <c r="IW856" s="74"/>
      <c r="IX856" s="74"/>
      <c r="IY856" s="74"/>
      <c r="IZ856" s="74"/>
      <c r="JA856" s="74"/>
    </row>
    <row r="857" spans="1:261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  <c r="IW857" s="74"/>
      <c r="IX857" s="74"/>
      <c r="IY857" s="74"/>
      <c r="IZ857" s="74"/>
      <c r="JA857" s="74"/>
    </row>
    <row r="858" spans="1:261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  <c r="IW858" s="74"/>
      <c r="IX858" s="74"/>
      <c r="IY858" s="74"/>
      <c r="IZ858" s="74"/>
      <c r="JA858" s="74"/>
    </row>
    <row r="859" spans="1:261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  <c r="IW859" s="74"/>
      <c r="IX859" s="74"/>
      <c r="IY859" s="74"/>
      <c r="IZ859" s="74"/>
      <c r="JA859" s="74"/>
    </row>
    <row r="860" spans="1:261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  <c r="IW860" s="74"/>
      <c r="IX860" s="74"/>
      <c r="IY860" s="74"/>
      <c r="IZ860" s="74"/>
      <c r="JA860" s="74"/>
    </row>
    <row r="861" spans="1:261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  <c r="IW861" s="74"/>
      <c r="IX861" s="74"/>
      <c r="IY861" s="74"/>
      <c r="IZ861" s="74"/>
      <c r="JA861" s="74"/>
    </row>
    <row r="862" spans="1:261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  <c r="IW862" s="74"/>
      <c r="IX862" s="74"/>
      <c r="IY862" s="74"/>
      <c r="IZ862" s="74"/>
      <c r="JA862" s="74"/>
    </row>
    <row r="863" spans="1:261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  <c r="IW863" s="74"/>
      <c r="IX863" s="74"/>
      <c r="IY863" s="74"/>
      <c r="IZ863" s="74"/>
      <c r="JA863" s="74"/>
    </row>
    <row r="864" spans="1:261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  <c r="IW864" s="74"/>
      <c r="IX864" s="74"/>
      <c r="IY864" s="74"/>
      <c r="IZ864" s="74"/>
      <c r="JA864" s="74"/>
    </row>
    <row r="865" spans="1:261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  <c r="IW865" s="74"/>
      <c r="IX865" s="74"/>
      <c r="IY865" s="74"/>
      <c r="IZ865" s="74"/>
      <c r="JA865" s="74"/>
    </row>
    <row r="866" spans="1:261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  <c r="IW866" s="74"/>
      <c r="IX866" s="74"/>
      <c r="IY866" s="74"/>
      <c r="IZ866" s="74"/>
      <c r="JA866" s="74"/>
    </row>
    <row r="867" spans="1:261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  <c r="IW867" s="74"/>
      <c r="IX867" s="74"/>
      <c r="IY867" s="74"/>
      <c r="IZ867" s="74"/>
      <c r="JA867" s="74"/>
    </row>
    <row r="868" spans="1:261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  <c r="IW868" s="74"/>
      <c r="IX868" s="74"/>
      <c r="IY868" s="74"/>
      <c r="IZ868" s="74"/>
      <c r="JA868" s="74"/>
    </row>
    <row r="869" spans="1:261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  <c r="IW869" s="74"/>
      <c r="IX869" s="74"/>
      <c r="IY869" s="74"/>
      <c r="IZ869" s="74"/>
      <c r="JA869" s="74"/>
    </row>
    <row r="870" spans="1:261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  <c r="IW870" s="74"/>
      <c r="IX870" s="74"/>
      <c r="IY870" s="74"/>
      <c r="IZ870" s="74"/>
      <c r="JA870" s="74"/>
    </row>
    <row r="871" spans="1:261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  <c r="IW871" s="74"/>
      <c r="IX871" s="74"/>
      <c r="IY871" s="74"/>
      <c r="IZ871" s="74"/>
      <c r="JA871" s="74"/>
    </row>
    <row r="872" spans="1:261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  <c r="IW872" s="74"/>
      <c r="IX872" s="74"/>
      <c r="IY872" s="74"/>
      <c r="IZ872" s="74"/>
      <c r="JA872" s="74"/>
    </row>
    <row r="873" spans="1:261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  <c r="IW873" s="74"/>
      <c r="IX873" s="74"/>
      <c r="IY873" s="74"/>
      <c r="IZ873" s="74"/>
      <c r="JA873" s="74"/>
    </row>
    <row r="874" spans="1:261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  <c r="IW874" s="74"/>
      <c r="IX874" s="74"/>
      <c r="IY874" s="74"/>
      <c r="IZ874" s="74"/>
      <c r="JA874" s="74"/>
    </row>
    <row r="875" spans="1:261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  <c r="IW875" s="74"/>
      <c r="IX875" s="74"/>
      <c r="IY875" s="74"/>
      <c r="IZ875" s="74"/>
      <c r="JA875" s="74"/>
    </row>
    <row r="876" spans="1:261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  <c r="IW876" s="74"/>
      <c r="IX876" s="74"/>
      <c r="IY876" s="74"/>
      <c r="IZ876" s="74"/>
      <c r="JA876" s="74"/>
    </row>
    <row r="877" spans="1:261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  <c r="IW877" s="74"/>
      <c r="IX877" s="74"/>
      <c r="IY877" s="74"/>
      <c r="IZ877" s="74"/>
      <c r="JA877" s="74"/>
    </row>
    <row r="878" spans="1:261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  <c r="IW878" s="74"/>
      <c r="IX878" s="74"/>
      <c r="IY878" s="74"/>
      <c r="IZ878" s="74"/>
      <c r="JA878" s="74"/>
    </row>
    <row r="879" spans="1:261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  <c r="IW879" s="74"/>
      <c r="IX879" s="74"/>
      <c r="IY879" s="74"/>
      <c r="IZ879" s="74"/>
      <c r="JA879" s="74"/>
    </row>
    <row r="880" spans="1:261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  <c r="IW880" s="74"/>
      <c r="IX880" s="74"/>
      <c r="IY880" s="74"/>
      <c r="IZ880" s="74"/>
      <c r="JA880" s="74"/>
    </row>
    <row r="881" spans="1:261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  <c r="IW881" s="74"/>
      <c r="IX881" s="74"/>
      <c r="IY881" s="74"/>
      <c r="IZ881" s="74"/>
      <c r="JA881" s="74"/>
    </row>
    <row r="882" spans="1:261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  <c r="IW882" s="74"/>
      <c r="IX882" s="74"/>
      <c r="IY882" s="74"/>
      <c r="IZ882" s="74"/>
      <c r="JA882" s="74"/>
    </row>
    <row r="883" spans="1:261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  <c r="IW883" s="74"/>
      <c r="IX883" s="74"/>
      <c r="IY883" s="74"/>
      <c r="IZ883" s="74"/>
      <c r="JA883" s="74"/>
    </row>
    <row r="884" spans="1:261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  <c r="IW884" s="74"/>
      <c r="IX884" s="74"/>
      <c r="IY884" s="74"/>
      <c r="IZ884" s="74"/>
      <c r="JA884" s="74"/>
    </row>
    <row r="885" spans="1:261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  <c r="IW885" s="74"/>
      <c r="IX885" s="74"/>
      <c r="IY885" s="74"/>
      <c r="IZ885" s="74"/>
      <c r="JA885" s="74"/>
    </row>
    <row r="886" spans="1:261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  <c r="IW886" s="74"/>
      <c r="IX886" s="74"/>
      <c r="IY886" s="74"/>
      <c r="IZ886" s="74"/>
      <c r="JA886" s="74"/>
    </row>
    <row r="887" spans="1:261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  <c r="IW887" s="74"/>
      <c r="IX887" s="74"/>
      <c r="IY887" s="74"/>
      <c r="IZ887" s="74"/>
      <c r="JA887" s="74"/>
    </row>
    <row r="888" spans="1:261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  <c r="IW888" s="74"/>
      <c r="IX888" s="74"/>
      <c r="IY888" s="74"/>
      <c r="IZ888" s="74"/>
      <c r="JA888" s="74"/>
    </row>
    <row r="889" spans="1:261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  <c r="IW889" s="74"/>
      <c r="IX889" s="74"/>
      <c r="IY889" s="74"/>
      <c r="IZ889" s="74"/>
      <c r="JA889" s="74"/>
    </row>
    <row r="890" spans="1:261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  <c r="IW890" s="74"/>
      <c r="IX890" s="74"/>
      <c r="IY890" s="74"/>
      <c r="IZ890" s="74"/>
      <c r="JA890" s="74"/>
    </row>
    <row r="891" spans="1:261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  <c r="IW891" s="74"/>
      <c r="IX891" s="74"/>
      <c r="IY891" s="74"/>
      <c r="IZ891" s="74"/>
      <c r="JA891" s="74"/>
    </row>
    <row r="892" spans="1:261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  <c r="IW892" s="74"/>
      <c r="IX892" s="74"/>
      <c r="IY892" s="74"/>
      <c r="IZ892" s="74"/>
      <c r="JA892" s="74"/>
    </row>
    <row r="893" spans="1:261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  <c r="IW893" s="74"/>
      <c r="IX893" s="74"/>
      <c r="IY893" s="74"/>
      <c r="IZ893" s="74"/>
      <c r="JA893" s="74"/>
    </row>
    <row r="894" spans="1:261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  <c r="IW894" s="74"/>
      <c r="IX894" s="74"/>
      <c r="IY894" s="74"/>
      <c r="IZ894" s="74"/>
      <c r="JA894" s="74"/>
    </row>
    <row r="895" spans="1:261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  <c r="IW895" s="74"/>
      <c r="IX895" s="74"/>
      <c r="IY895" s="74"/>
      <c r="IZ895" s="74"/>
      <c r="JA895" s="74"/>
    </row>
    <row r="896" spans="1:261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  <c r="IW896" s="74"/>
      <c r="IX896" s="74"/>
      <c r="IY896" s="74"/>
      <c r="IZ896" s="74"/>
      <c r="JA896" s="74"/>
    </row>
    <row r="897" spans="1:261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  <c r="IW897" s="74"/>
      <c r="IX897" s="74"/>
      <c r="IY897" s="74"/>
      <c r="IZ897" s="74"/>
      <c r="JA897" s="74"/>
    </row>
    <row r="898" spans="1:261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  <c r="IW898" s="74"/>
      <c r="IX898" s="74"/>
      <c r="IY898" s="74"/>
      <c r="IZ898" s="74"/>
      <c r="JA898" s="74"/>
    </row>
    <row r="899" spans="1:261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  <c r="IW899" s="74"/>
      <c r="IX899" s="74"/>
      <c r="IY899" s="74"/>
      <c r="IZ899" s="74"/>
      <c r="JA899" s="74"/>
    </row>
    <row r="900" spans="1:261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  <c r="IW900" s="74"/>
      <c r="IX900" s="74"/>
      <c r="IY900" s="74"/>
      <c r="IZ900" s="74"/>
      <c r="JA900" s="74"/>
    </row>
    <row r="901" spans="1:261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  <c r="IW901" s="74"/>
      <c r="IX901" s="74"/>
      <c r="IY901" s="74"/>
      <c r="IZ901" s="74"/>
      <c r="JA901" s="74"/>
    </row>
    <row r="902" spans="1:261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  <c r="IW902" s="74"/>
      <c r="IX902" s="74"/>
      <c r="IY902" s="74"/>
      <c r="IZ902" s="74"/>
      <c r="JA902" s="74"/>
    </row>
    <row r="903" spans="1:261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  <c r="IW903" s="74"/>
      <c r="IX903" s="74"/>
      <c r="IY903" s="74"/>
      <c r="IZ903" s="74"/>
      <c r="JA903" s="74"/>
    </row>
    <row r="904" spans="1:261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  <c r="IW904" s="74"/>
      <c r="IX904" s="74"/>
      <c r="IY904" s="74"/>
      <c r="IZ904" s="74"/>
      <c r="JA904" s="74"/>
    </row>
    <row r="905" spans="1:261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  <c r="IW905" s="74"/>
      <c r="IX905" s="74"/>
      <c r="IY905" s="74"/>
      <c r="IZ905" s="74"/>
      <c r="JA905" s="74"/>
    </row>
    <row r="906" spans="1:261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  <c r="IW906" s="74"/>
      <c r="IX906" s="74"/>
      <c r="IY906" s="74"/>
      <c r="IZ906" s="74"/>
      <c r="JA906" s="74"/>
    </row>
    <row r="907" spans="1:261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  <c r="IW907" s="74"/>
      <c r="IX907" s="74"/>
      <c r="IY907" s="74"/>
      <c r="IZ907" s="74"/>
      <c r="JA907" s="74"/>
    </row>
    <row r="908" spans="1:261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  <c r="IW908" s="74"/>
      <c r="IX908" s="74"/>
      <c r="IY908" s="74"/>
      <c r="IZ908" s="74"/>
      <c r="JA908" s="74"/>
    </row>
    <row r="909" spans="1:261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  <c r="IW909" s="74"/>
      <c r="IX909" s="74"/>
      <c r="IY909" s="74"/>
      <c r="IZ909" s="74"/>
      <c r="JA909" s="74"/>
    </row>
    <row r="910" spans="1:261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  <c r="IW910" s="74"/>
      <c r="IX910" s="74"/>
      <c r="IY910" s="74"/>
      <c r="IZ910" s="74"/>
      <c r="JA910" s="74"/>
    </row>
    <row r="911" spans="1:261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  <c r="IW911" s="74"/>
      <c r="IX911" s="74"/>
      <c r="IY911" s="74"/>
      <c r="IZ911" s="74"/>
      <c r="JA911" s="74"/>
    </row>
    <row r="912" spans="1:261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  <c r="IW912" s="74"/>
      <c r="IX912" s="74"/>
      <c r="IY912" s="74"/>
      <c r="IZ912" s="74"/>
      <c r="JA912" s="74"/>
    </row>
    <row r="913" spans="1:261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  <c r="IW913" s="74"/>
      <c r="IX913" s="74"/>
      <c r="IY913" s="74"/>
      <c r="IZ913" s="74"/>
      <c r="JA913" s="74"/>
    </row>
    <row r="914" spans="1:261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  <c r="IW914" s="74"/>
      <c r="IX914" s="74"/>
      <c r="IY914" s="74"/>
      <c r="IZ914" s="74"/>
      <c r="JA914" s="74"/>
    </row>
    <row r="915" spans="1:261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  <c r="IW915" s="74"/>
      <c r="IX915" s="74"/>
      <c r="IY915" s="74"/>
      <c r="IZ915" s="74"/>
      <c r="JA915" s="74"/>
    </row>
    <row r="916" spans="1:261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  <c r="IW916" s="74"/>
      <c r="IX916" s="74"/>
      <c r="IY916" s="74"/>
      <c r="IZ916" s="74"/>
      <c r="JA916" s="74"/>
    </row>
    <row r="917" spans="1:261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  <c r="IW917" s="74"/>
      <c r="IX917" s="74"/>
      <c r="IY917" s="74"/>
      <c r="IZ917" s="74"/>
      <c r="JA917" s="74"/>
    </row>
    <row r="918" spans="1:261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  <c r="IW918" s="74"/>
      <c r="IX918" s="74"/>
      <c r="IY918" s="74"/>
      <c r="IZ918" s="74"/>
      <c r="JA918" s="74"/>
    </row>
    <row r="919" spans="1:261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  <c r="IW919" s="74"/>
      <c r="IX919" s="74"/>
      <c r="IY919" s="74"/>
      <c r="IZ919" s="74"/>
      <c r="JA919" s="74"/>
    </row>
    <row r="920" spans="1:261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  <c r="IW920" s="74"/>
      <c r="IX920" s="74"/>
      <c r="IY920" s="74"/>
      <c r="IZ920" s="74"/>
      <c r="JA920" s="74"/>
    </row>
    <row r="921" spans="1:261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  <c r="IW921" s="74"/>
      <c r="IX921" s="74"/>
      <c r="IY921" s="74"/>
      <c r="IZ921" s="74"/>
      <c r="JA921" s="74"/>
    </row>
    <row r="922" spans="1:261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  <c r="IW922" s="74"/>
      <c r="IX922" s="74"/>
      <c r="IY922" s="74"/>
      <c r="IZ922" s="74"/>
      <c r="JA922" s="74"/>
    </row>
    <row r="923" spans="1:261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  <c r="IW923" s="74"/>
      <c r="IX923" s="74"/>
      <c r="IY923" s="74"/>
      <c r="IZ923" s="74"/>
      <c r="JA923" s="74"/>
    </row>
    <row r="924" spans="1:261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  <c r="IW924" s="74"/>
      <c r="IX924" s="74"/>
      <c r="IY924" s="74"/>
      <c r="IZ924" s="74"/>
      <c r="JA924" s="74"/>
    </row>
    <row r="925" spans="1:261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  <c r="IW925" s="74"/>
      <c r="IX925" s="74"/>
      <c r="IY925" s="74"/>
      <c r="IZ925" s="74"/>
      <c r="JA925" s="74"/>
    </row>
    <row r="926" spans="1:261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  <c r="IW926" s="74"/>
      <c r="IX926" s="74"/>
      <c r="IY926" s="74"/>
      <c r="IZ926" s="74"/>
      <c r="JA926" s="74"/>
    </row>
    <row r="927" spans="1:261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  <c r="IW927" s="74"/>
      <c r="IX927" s="74"/>
      <c r="IY927" s="74"/>
      <c r="IZ927" s="74"/>
      <c r="JA927" s="74"/>
    </row>
    <row r="928" spans="1:261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  <c r="IW928" s="74"/>
      <c r="IX928" s="74"/>
      <c r="IY928" s="74"/>
      <c r="IZ928" s="74"/>
      <c r="JA928" s="74"/>
    </row>
    <row r="929" spans="1:261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  <c r="IW929" s="74"/>
      <c r="IX929" s="74"/>
      <c r="IY929" s="74"/>
      <c r="IZ929" s="74"/>
      <c r="JA929" s="74"/>
    </row>
    <row r="930" spans="1:261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  <c r="IW930" s="74"/>
      <c r="IX930" s="74"/>
      <c r="IY930" s="74"/>
      <c r="IZ930" s="74"/>
      <c r="JA930" s="74"/>
    </row>
    <row r="931" spans="1:261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  <c r="IW931" s="74"/>
      <c r="IX931" s="74"/>
      <c r="IY931" s="74"/>
      <c r="IZ931" s="74"/>
      <c r="JA931" s="74"/>
    </row>
    <row r="932" spans="1:261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  <c r="IW932" s="74"/>
      <c r="IX932" s="74"/>
      <c r="IY932" s="74"/>
      <c r="IZ932" s="74"/>
      <c r="JA932" s="74"/>
    </row>
    <row r="933" spans="1:261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  <c r="IW933" s="74"/>
      <c r="IX933" s="74"/>
      <c r="IY933" s="74"/>
      <c r="IZ933" s="74"/>
      <c r="JA933" s="74"/>
    </row>
    <row r="934" spans="1:261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  <c r="IW934" s="74"/>
      <c r="IX934" s="74"/>
      <c r="IY934" s="74"/>
      <c r="IZ934" s="74"/>
      <c r="JA934" s="74"/>
    </row>
    <row r="935" spans="1:261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  <c r="IW935" s="74"/>
      <c r="IX935" s="74"/>
      <c r="IY935" s="74"/>
      <c r="IZ935" s="74"/>
      <c r="JA935" s="74"/>
    </row>
    <row r="936" spans="1:261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  <c r="IW936" s="74"/>
      <c r="IX936" s="74"/>
      <c r="IY936" s="74"/>
      <c r="IZ936" s="74"/>
      <c r="JA936" s="74"/>
    </row>
    <row r="937" spans="1:261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  <c r="IW937" s="74"/>
      <c r="IX937" s="74"/>
      <c r="IY937" s="74"/>
      <c r="IZ937" s="74"/>
      <c r="JA937" s="74"/>
    </row>
    <row r="938" spans="1:261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  <c r="IW938" s="74"/>
      <c r="IX938" s="74"/>
      <c r="IY938" s="74"/>
      <c r="IZ938" s="74"/>
      <c r="JA938" s="74"/>
    </row>
    <row r="939" spans="1:261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  <c r="IW939" s="74"/>
      <c r="IX939" s="74"/>
      <c r="IY939" s="74"/>
      <c r="IZ939" s="74"/>
      <c r="JA939" s="74"/>
    </row>
    <row r="940" spans="1:261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  <c r="IW940" s="74"/>
      <c r="IX940" s="74"/>
      <c r="IY940" s="74"/>
      <c r="IZ940" s="74"/>
      <c r="JA940" s="74"/>
    </row>
    <row r="941" spans="1:261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  <c r="IW941" s="74"/>
      <c r="IX941" s="74"/>
      <c r="IY941" s="74"/>
      <c r="IZ941" s="74"/>
      <c r="JA941" s="74"/>
    </row>
    <row r="942" spans="1:261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  <c r="IW942" s="74"/>
      <c r="IX942" s="74"/>
      <c r="IY942" s="74"/>
      <c r="IZ942" s="74"/>
      <c r="JA942" s="74"/>
    </row>
    <row r="943" spans="1:261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  <c r="IW943" s="74"/>
      <c r="IX943" s="74"/>
      <c r="IY943" s="74"/>
      <c r="IZ943" s="74"/>
      <c r="JA943" s="74"/>
    </row>
    <row r="944" spans="1:261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  <c r="IW944" s="74"/>
      <c r="IX944" s="74"/>
      <c r="IY944" s="74"/>
      <c r="IZ944" s="74"/>
      <c r="JA944" s="74"/>
    </row>
    <row r="945" spans="1:261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  <c r="IW945" s="74"/>
      <c r="IX945" s="74"/>
      <c r="IY945" s="74"/>
      <c r="IZ945" s="74"/>
      <c r="JA945" s="74"/>
    </row>
    <row r="946" spans="1:261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  <c r="IW946" s="74"/>
      <c r="IX946" s="74"/>
      <c r="IY946" s="74"/>
      <c r="IZ946" s="74"/>
      <c r="JA946" s="74"/>
    </row>
    <row r="947" spans="1:261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  <c r="IW947" s="74"/>
      <c r="IX947" s="74"/>
      <c r="IY947" s="74"/>
      <c r="IZ947" s="74"/>
      <c r="JA947" s="74"/>
    </row>
    <row r="948" spans="1:261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  <c r="IW948" s="74"/>
      <c r="IX948" s="74"/>
      <c r="IY948" s="74"/>
      <c r="IZ948" s="74"/>
      <c r="JA948" s="74"/>
    </row>
    <row r="949" spans="1:261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  <c r="IW949" s="74"/>
      <c r="IX949" s="74"/>
      <c r="IY949" s="74"/>
      <c r="IZ949" s="74"/>
      <c r="JA949" s="74"/>
    </row>
    <row r="950" spans="1:261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  <c r="IW950" s="74"/>
      <c r="IX950" s="74"/>
      <c r="IY950" s="74"/>
      <c r="IZ950" s="74"/>
      <c r="JA950" s="74"/>
    </row>
    <row r="951" spans="1:261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  <c r="IW951" s="74"/>
      <c r="IX951" s="74"/>
      <c r="IY951" s="74"/>
      <c r="IZ951" s="74"/>
      <c r="JA951" s="74"/>
    </row>
    <row r="952" spans="1:261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  <c r="IW952" s="74"/>
      <c r="IX952" s="74"/>
      <c r="IY952" s="74"/>
      <c r="IZ952" s="74"/>
      <c r="JA952" s="74"/>
    </row>
    <row r="953" spans="1:261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  <c r="IW953" s="74"/>
      <c r="IX953" s="74"/>
      <c r="IY953" s="74"/>
      <c r="IZ953" s="74"/>
      <c r="JA953" s="74"/>
    </row>
    <row r="954" spans="1:261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  <c r="IW954" s="74"/>
      <c r="IX954" s="74"/>
      <c r="IY954" s="74"/>
      <c r="IZ954" s="74"/>
      <c r="JA954" s="74"/>
    </row>
    <row r="955" spans="1:261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  <c r="IW955" s="74"/>
      <c r="IX955" s="74"/>
      <c r="IY955" s="74"/>
      <c r="IZ955" s="74"/>
      <c r="JA955" s="74"/>
    </row>
    <row r="956" spans="1:261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  <c r="IW956" s="74"/>
      <c r="IX956" s="74"/>
      <c r="IY956" s="74"/>
      <c r="IZ956" s="74"/>
      <c r="JA956" s="74"/>
    </row>
    <row r="957" spans="1:261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  <c r="IW957" s="74"/>
      <c r="IX957" s="74"/>
      <c r="IY957" s="74"/>
      <c r="IZ957" s="74"/>
      <c r="JA957" s="74"/>
    </row>
    <row r="958" spans="1:261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  <c r="IW958" s="74"/>
      <c r="IX958" s="74"/>
      <c r="IY958" s="74"/>
      <c r="IZ958" s="74"/>
      <c r="JA958" s="74"/>
    </row>
    <row r="959" spans="1:261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  <c r="IW959" s="74"/>
      <c r="IX959" s="74"/>
      <c r="IY959" s="74"/>
      <c r="IZ959" s="74"/>
      <c r="JA959" s="74"/>
    </row>
    <row r="960" spans="1:261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  <c r="IW960" s="74"/>
      <c r="IX960" s="74"/>
      <c r="IY960" s="74"/>
      <c r="IZ960" s="74"/>
      <c r="JA960" s="74"/>
    </row>
    <row r="961" spans="1:261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  <c r="IW961" s="74"/>
      <c r="IX961" s="74"/>
      <c r="IY961" s="74"/>
      <c r="IZ961" s="74"/>
      <c r="JA961" s="74"/>
    </row>
    <row r="962" spans="1:261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  <c r="IW962" s="74"/>
      <c r="IX962" s="74"/>
      <c r="IY962" s="74"/>
      <c r="IZ962" s="74"/>
      <c r="JA962" s="74"/>
    </row>
    <row r="963" spans="1:261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  <c r="IW963" s="74"/>
      <c r="IX963" s="74"/>
      <c r="IY963" s="74"/>
      <c r="IZ963" s="74"/>
      <c r="JA963" s="74"/>
    </row>
    <row r="964" spans="1:261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  <c r="IW964" s="74"/>
      <c r="IX964" s="74"/>
      <c r="IY964" s="74"/>
      <c r="IZ964" s="74"/>
      <c r="JA964" s="74"/>
    </row>
    <row r="965" spans="1:261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  <c r="IW965" s="74"/>
      <c r="IX965" s="74"/>
      <c r="IY965" s="74"/>
      <c r="IZ965" s="74"/>
      <c r="JA965" s="74"/>
    </row>
    <row r="966" spans="1:261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  <c r="IW966" s="74"/>
      <c r="IX966" s="74"/>
      <c r="IY966" s="74"/>
      <c r="IZ966" s="74"/>
      <c r="JA966" s="74"/>
    </row>
    <row r="967" spans="1:261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  <c r="IW967" s="74"/>
      <c r="IX967" s="74"/>
      <c r="IY967" s="74"/>
      <c r="IZ967" s="74"/>
      <c r="JA967" s="74"/>
    </row>
    <row r="968" spans="1:261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  <c r="IW968" s="74"/>
      <c r="IX968" s="74"/>
      <c r="IY968" s="74"/>
      <c r="IZ968" s="74"/>
      <c r="JA968" s="74"/>
    </row>
    <row r="969" spans="1:261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  <c r="IW969" s="74"/>
      <c r="IX969" s="74"/>
      <c r="IY969" s="74"/>
      <c r="IZ969" s="74"/>
      <c r="JA969" s="74"/>
    </row>
    <row r="970" spans="1:261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  <c r="IW970" s="74"/>
      <c r="IX970" s="74"/>
      <c r="IY970" s="74"/>
      <c r="IZ970" s="74"/>
      <c r="JA970" s="74"/>
    </row>
    <row r="971" spans="1:261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  <c r="IW971" s="74"/>
      <c r="IX971" s="74"/>
      <c r="IY971" s="74"/>
      <c r="IZ971" s="74"/>
      <c r="JA971" s="74"/>
    </row>
    <row r="972" spans="1:261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  <c r="IW972" s="74"/>
      <c r="IX972" s="74"/>
      <c r="IY972" s="74"/>
      <c r="IZ972" s="74"/>
      <c r="JA972" s="74"/>
    </row>
    <row r="973" spans="1:261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  <c r="IW973" s="74"/>
      <c r="IX973" s="74"/>
      <c r="IY973" s="74"/>
      <c r="IZ973" s="74"/>
      <c r="JA973" s="74"/>
    </row>
    <row r="974" spans="1:261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  <c r="IW974" s="74"/>
      <c r="IX974" s="74"/>
      <c r="IY974" s="74"/>
      <c r="IZ974" s="74"/>
      <c r="JA974" s="74"/>
    </row>
    <row r="975" spans="1:261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  <c r="IW975" s="74"/>
      <c r="IX975" s="74"/>
      <c r="IY975" s="74"/>
      <c r="IZ975" s="74"/>
      <c r="JA975" s="74"/>
    </row>
    <row r="976" spans="1:261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  <c r="IW976" s="74"/>
      <c r="IX976" s="74"/>
      <c r="IY976" s="74"/>
      <c r="IZ976" s="74"/>
      <c r="JA976" s="74"/>
    </row>
    <row r="977" spans="1:261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  <c r="IW977" s="74"/>
      <c r="IX977" s="74"/>
      <c r="IY977" s="74"/>
      <c r="IZ977" s="74"/>
      <c r="JA977" s="74"/>
    </row>
    <row r="978" spans="1:261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  <c r="IW978" s="74"/>
      <c r="IX978" s="74"/>
      <c r="IY978" s="74"/>
      <c r="IZ978" s="74"/>
      <c r="JA978" s="74"/>
    </row>
    <row r="979" spans="1:261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  <c r="IW979" s="74"/>
      <c r="IX979" s="74"/>
      <c r="IY979" s="74"/>
      <c r="IZ979" s="74"/>
      <c r="JA979" s="74"/>
    </row>
    <row r="980" spans="1:261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  <c r="IW980" s="74"/>
      <c r="IX980" s="74"/>
      <c r="IY980" s="74"/>
      <c r="IZ980" s="74"/>
      <c r="JA980" s="74"/>
    </row>
    <row r="981" spans="1:261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  <c r="IW981" s="74"/>
      <c r="IX981" s="74"/>
      <c r="IY981" s="74"/>
      <c r="IZ981" s="74"/>
      <c r="JA981" s="74"/>
    </row>
    <row r="982" spans="1:261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  <c r="IW982" s="74"/>
      <c r="IX982" s="74"/>
      <c r="IY982" s="74"/>
      <c r="IZ982" s="74"/>
      <c r="JA982" s="74"/>
    </row>
    <row r="983" spans="1:261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  <c r="IW983" s="74"/>
      <c r="IX983" s="74"/>
      <c r="IY983" s="74"/>
      <c r="IZ983" s="74"/>
      <c r="JA983" s="74"/>
    </row>
    <row r="984" spans="1:261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  <c r="IW984" s="74"/>
      <c r="IX984" s="74"/>
      <c r="IY984" s="74"/>
      <c r="IZ984" s="74"/>
      <c r="JA984" s="74"/>
    </row>
    <row r="985" spans="1:261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  <c r="IW985" s="74"/>
      <c r="IX985" s="74"/>
      <c r="IY985" s="74"/>
      <c r="IZ985" s="74"/>
      <c r="JA985" s="74"/>
    </row>
    <row r="986" spans="1:261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  <c r="IW986" s="74"/>
      <c r="IX986" s="74"/>
      <c r="IY986" s="74"/>
      <c r="IZ986" s="74"/>
      <c r="JA986" s="74"/>
    </row>
    <row r="987" spans="1:261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  <c r="IW987" s="74"/>
      <c r="IX987" s="74"/>
      <c r="IY987" s="74"/>
      <c r="IZ987" s="74"/>
      <c r="JA987" s="74"/>
    </row>
    <row r="988" spans="1:261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  <c r="IW988" s="74"/>
      <c r="IX988" s="74"/>
      <c r="IY988" s="74"/>
      <c r="IZ988" s="74"/>
      <c r="JA988" s="74"/>
    </row>
    <row r="989" spans="1:261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  <c r="IW989" s="74"/>
      <c r="IX989" s="74"/>
      <c r="IY989" s="74"/>
      <c r="IZ989" s="74"/>
      <c r="JA989" s="74"/>
    </row>
    <row r="990" spans="1:261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  <c r="IW990" s="74"/>
      <c r="IX990" s="74"/>
      <c r="IY990" s="74"/>
      <c r="IZ990" s="74"/>
      <c r="JA990" s="74"/>
    </row>
    <row r="991" spans="1:261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  <c r="IW991" s="74"/>
      <c r="IX991" s="74"/>
      <c r="IY991" s="74"/>
      <c r="IZ991" s="74"/>
      <c r="JA991" s="74"/>
    </row>
    <row r="992" spans="1:261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  <c r="IW992" s="74"/>
      <c r="IX992" s="74"/>
      <c r="IY992" s="74"/>
      <c r="IZ992" s="74"/>
      <c r="JA992" s="74"/>
    </row>
    <row r="993" spans="1:261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  <c r="IW993" s="74"/>
      <c r="IX993" s="74"/>
      <c r="IY993" s="74"/>
      <c r="IZ993" s="74"/>
      <c r="JA993" s="74"/>
    </row>
    <row r="994" spans="1:261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  <c r="IW994" s="74"/>
      <c r="IX994" s="74"/>
      <c r="IY994" s="74"/>
      <c r="IZ994" s="74"/>
      <c r="JA994" s="74"/>
    </row>
    <row r="995" spans="1:261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  <c r="IW995" s="74"/>
      <c r="IX995" s="74"/>
      <c r="IY995" s="74"/>
      <c r="IZ995" s="74"/>
      <c r="JA995" s="74"/>
    </row>
    <row r="996" spans="1:261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  <c r="IW996" s="74"/>
      <c r="IX996" s="74"/>
      <c r="IY996" s="74"/>
      <c r="IZ996" s="74"/>
      <c r="JA996" s="74"/>
    </row>
    <row r="997" spans="1:261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  <c r="IW997" s="74"/>
      <c r="IX997" s="74"/>
      <c r="IY997" s="74"/>
      <c r="IZ997" s="74"/>
      <c r="JA997" s="74"/>
    </row>
    <row r="998" spans="1:261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  <c r="IW998" s="74"/>
      <c r="IX998" s="74"/>
      <c r="IY998" s="74"/>
      <c r="IZ998" s="74"/>
      <c r="JA998" s="74"/>
    </row>
    <row r="999" spans="1:261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  <c r="IW999" s="74"/>
      <c r="IX999" s="74"/>
      <c r="IY999" s="74"/>
      <c r="IZ999" s="74"/>
      <c r="JA999" s="74"/>
    </row>
    <row r="1000" spans="1:261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  <c r="IW1000" s="74"/>
      <c r="IX1000" s="74"/>
      <c r="IY1000" s="74"/>
      <c r="IZ1000" s="74"/>
      <c r="JA1000" s="74"/>
    </row>
    <row r="1001" spans="1:261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  <c r="U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  <c r="IW1001" s="74"/>
      <c r="IX1001" s="74"/>
      <c r="IY1001" s="74"/>
      <c r="IZ1001" s="74"/>
      <c r="JA1001" s="74"/>
    </row>
    <row r="1002" spans="1:261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  <c r="U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  <c r="IW1002" s="74"/>
      <c r="IX1002" s="74"/>
      <c r="IY1002" s="74"/>
      <c r="IZ1002" s="74"/>
      <c r="JA1002" s="74"/>
    </row>
    <row r="1003" spans="1:261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  <c r="U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  <c r="IW1003" s="74"/>
      <c r="IX1003" s="74"/>
      <c r="IY1003" s="74"/>
      <c r="IZ1003" s="74"/>
      <c r="JA1003" s="74"/>
    </row>
    <row r="1004" spans="1:261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  <c r="U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  <c r="IW1004" s="74"/>
      <c r="IX1004" s="74"/>
      <c r="IY1004" s="74"/>
      <c r="IZ1004" s="74"/>
      <c r="JA1004" s="74"/>
    </row>
    <row r="1005" spans="1:261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  <c r="U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  <c r="IW1005" s="74"/>
      <c r="IX1005" s="74"/>
      <c r="IY1005" s="74"/>
      <c r="IZ1005" s="74"/>
      <c r="JA1005" s="74"/>
    </row>
    <row r="1006" spans="1:261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  <c r="U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  <c r="IW1006" s="74"/>
      <c r="IX1006" s="74"/>
      <c r="IY1006" s="74"/>
      <c r="IZ1006" s="74"/>
      <c r="JA1006" s="74"/>
    </row>
    <row r="1007" spans="1:261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  <c r="U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  <c r="IW1007" s="74"/>
      <c r="IX1007" s="74"/>
      <c r="IY1007" s="74"/>
      <c r="IZ1007" s="74"/>
      <c r="JA1007" s="74"/>
    </row>
    <row r="1008" spans="1:261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  <c r="U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  <c r="IW1008" s="74"/>
      <c r="IX1008" s="74"/>
      <c r="IY1008" s="74"/>
      <c r="IZ1008" s="74"/>
      <c r="JA1008" s="74"/>
    </row>
    <row r="1009" spans="1:261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  <c r="U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  <c r="IW1009" s="74"/>
      <c r="IX1009" s="74"/>
      <c r="IY1009" s="74"/>
      <c r="IZ1009" s="74"/>
      <c r="JA1009" s="74"/>
    </row>
    <row r="1010" spans="1:261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  <c r="U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  <c r="IW1010" s="74"/>
      <c r="IX1010" s="74"/>
      <c r="IY1010" s="74"/>
      <c r="IZ1010" s="74"/>
      <c r="JA1010" s="74"/>
    </row>
    <row r="1011" spans="1:261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  <c r="U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  <c r="IW1011" s="74"/>
      <c r="IX1011" s="74"/>
      <c r="IY1011" s="74"/>
      <c r="IZ1011" s="74"/>
      <c r="JA1011" s="74"/>
    </row>
    <row r="1012" spans="1:261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  <c r="U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  <c r="IW1012" s="74"/>
      <c r="IX1012" s="74"/>
      <c r="IY1012" s="74"/>
      <c r="IZ1012" s="74"/>
      <c r="JA1012" s="74"/>
    </row>
    <row r="1013" spans="1:261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  <c r="U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  <c r="IW1013" s="74"/>
      <c r="IX1013" s="74"/>
      <c r="IY1013" s="74"/>
      <c r="IZ1013" s="74"/>
      <c r="JA1013" s="74"/>
    </row>
    <row r="1014" spans="1:261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  <c r="U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  <c r="IW1014" s="74"/>
      <c r="IX1014" s="74"/>
      <c r="IY1014" s="74"/>
      <c r="IZ1014" s="74"/>
      <c r="JA1014" s="74"/>
    </row>
    <row r="1015" spans="1:261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  <c r="U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  <c r="IW1015" s="74"/>
      <c r="IX1015" s="74"/>
      <c r="IY1015" s="74"/>
      <c r="IZ1015" s="74"/>
      <c r="JA1015" s="74"/>
    </row>
    <row r="1016" spans="1:261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  <c r="U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  <c r="IW1016" s="74"/>
      <c r="IX1016" s="74"/>
      <c r="IY1016" s="74"/>
      <c r="IZ1016" s="74"/>
      <c r="JA1016" s="74"/>
    </row>
    <row r="1017" spans="1:261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  <c r="U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  <c r="IW1017" s="74"/>
      <c r="IX1017" s="74"/>
      <c r="IY1017" s="74"/>
      <c r="IZ1017" s="74"/>
      <c r="JA1017" s="74"/>
    </row>
    <row r="1018" spans="1:261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  <c r="U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  <c r="IW1018" s="74"/>
      <c r="IX1018" s="74"/>
      <c r="IY1018" s="74"/>
      <c r="IZ1018" s="74"/>
      <c r="JA1018" s="74"/>
    </row>
    <row r="1019" spans="1:261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  <c r="U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  <c r="IW1019" s="74"/>
      <c r="IX1019" s="74"/>
      <c r="IY1019" s="74"/>
      <c r="IZ1019" s="74"/>
      <c r="JA1019" s="74"/>
    </row>
    <row r="1020" spans="1:261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  <c r="U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  <c r="IW1020" s="74"/>
      <c r="IX1020" s="74"/>
      <c r="IY1020" s="74"/>
      <c r="IZ1020" s="74"/>
      <c r="JA1020" s="74"/>
    </row>
    <row r="1021" spans="1:261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74"/>
      <c r="R1021" s="74"/>
      <c r="S1021" s="74"/>
      <c r="T1021" s="74"/>
      <c r="U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  <c r="IW1021" s="74"/>
      <c r="IX1021" s="74"/>
      <c r="IY1021" s="74"/>
      <c r="IZ1021" s="74"/>
      <c r="JA1021" s="74"/>
    </row>
    <row r="1022" spans="1:261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  <c r="U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  <c r="IW1022" s="74"/>
      <c r="IX1022" s="74"/>
      <c r="IY1022" s="74"/>
      <c r="IZ1022" s="74"/>
      <c r="JA1022" s="74"/>
    </row>
    <row r="1023" spans="1:261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  <c r="U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  <c r="IW1023" s="74"/>
      <c r="IX1023" s="74"/>
      <c r="IY1023" s="74"/>
      <c r="IZ1023" s="74"/>
      <c r="JA1023" s="74"/>
    </row>
    <row r="1024" spans="1:261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74"/>
      <c r="R1024" s="74"/>
      <c r="S1024" s="74"/>
      <c r="T1024" s="74"/>
      <c r="U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  <c r="IW1024" s="74"/>
      <c r="IX1024" s="74"/>
      <c r="IY1024" s="74"/>
      <c r="IZ1024" s="74"/>
      <c r="JA1024" s="74"/>
    </row>
    <row r="1025" spans="1:261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74"/>
      <c r="R1025" s="74"/>
      <c r="S1025" s="74"/>
      <c r="T1025" s="74"/>
      <c r="U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  <c r="IW1025" s="74"/>
      <c r="IX1025" s="74"/>
      <c r="IY1025" s="74"/>
      <c r="IZ1025" s="74"/>
      <c r="JA1025" s="74"/>
    </row>
    <row r="1026" spans="1:261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74"/>
      <c r="R1026" s="74"/>
      <c r="S1026" s="74"/>
      <c r="T1026" s="74"/>
      <c r="U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  <c r="IW1026" s="74"/>
      <c r="IX1026" s="74"/>
      <c r="IY1026" s="74"/>
      <c r="IZ1026" s="74"/>
      <c r="JA1026" s="74"/>
    </row>
    <row r="1027" spans="1:261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  <c r="U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  <c r="IW1027" s="74"/>
      <c r="IX1027" s="74"/>
      <c r="IY1027" s="74"/>
      <c r="IZ1027" s="74"/>
      <c r="JA1027" s="74"/>
    </row>
    <row r="1028" spans="1:261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74"/>
      <c r="R1028" s="74"/>
      <c r="S1028" s="74"/>
      <c r="T1028" s="74"/>
      <c r="U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  <c r="IW1028" s="74"/>
      <c r="IX1028" s="74"/>
      <c r="IY1028" s="74"/>
      <c r="IZ1028" s="74"/>
      <c r="JA1028" s="74"/>
    </row>
    <row r="1029" spans="1:261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74"/>
      <c r="R1029" s="74"/>
      <c r="S1029" s="74"/>
      <c r="T1029" s="74"/>
      <c r="U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  <c r="IW1029" s="74"/>
      <c r="IX1029" s="74"/>
      <c r="IY1029" s="74"/>
      <c r="IZ1029" s="74"/>
      <c r="JA1029" s="74"/>
    </row>
    <row r="1030" spans="1:261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74"/>
      <c r="U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  <c r="IW1030" s="74"/>
      <c r="IX1030" s="74"/>
      <c r="IY1030" s="74"/>
      <c r="IZ1030" s="74"/>
      <c r="JA1030" s="74"/>
    </row>
    <row r="1031" spans="1:261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74"/>
      <c r="U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  <c r="IW1031" s="74"/>
      <c r="IX1031" s="74"/>
      <c r="IY1031" s="74"/>
      <c r="IZ1031" s="74"/>
      <c r="JA1031" s="74"/>
    </row>
    <row r="1032" spans="1:261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74"/>
      <c r="R1032" s="74"/>
      <c r="S1032" s="74"/>
      <c r="T1032" s="74"/>
      <c r="U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  <c r="IW1032" s="74"/>
      <c r="IX1032" s="74"/>
      <c r="IY1032" s="74"/>
      <c r="IZ1032" s="74"/>
      <c r="JA1032" s="74"/>
    </row>
    <row r="1033" spans="1:261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74"/>
      <c r="R1033" s="74"/>
      <c r="S1033" s="74"/>
      <c r="T1033" s="74"/>
      <c r="U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  <c r="IW1033" s="74"/>
      <c r="IX1033" s="74"/>
      <c r="IY1033" s="74"/>
      <c r="IZ1033" s="74"/>
      <c r="JA1033" s="74"/>
    </row>
    <row r="1034" spans="1:261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74"/>
      <c r="R1034" s="74"/>
      <c r="S1034" s="74"/>
      <c r="T1034" s="74"/>
      <c r="U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  <c r="IW1034" s="74"/>
      <c r="IX1034" s="74"/>
      <c r="IY1034" s="74"/>
      <c r="IZ1034" s="74"/>
      <c r="JA1034" s="74"/>
    </row>
    <row r="1035" spans="1:261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74"/>
      <c r="R1035" s="74"/>
      <c r="S1035" s="74"/>
      <c r="T1035" s="74"/>
      <c r="U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  <c r="IW1035" s="74"/>
      <c r="IX1035" s="74"/>
      <c r="IY1035" s="74"/>
      <c r="IZ1035" s="74"/>
      <c r="JA1035" s="74"/>
    </row>
    <row r="1036" spans="1:261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  <c r="IW1036" s="74"/>
      <c r="IX1036" s="74"/>
      <c r="IY1036" s="74"/>
      <c r="IZ1036" s="74"/>
      <c r="JA1036" s="74"/>
    </row>
    <row r="1037" spans="1:261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  <c r="IW1037" s="74"/>
      <c r="IX1037" s="74"/>
      <c r="IY1037" s="74"/>
      <c r="IZ1037" s="74"/>
      <c r="JA1037" s="74"/>
    </row>
    <row r="1038" spans="1:261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Q1038" s="74"/>
      <c r="R1038" s="74"/>
      <c r="S1038" s="74"/>
      <c r="T1038" s="74"/>
      <c r="U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  <c r="IW1038" s="74"/>
      <c r="IX1038" s="74"/>
      <c r="IY1038" s="74"/>
      <c r="IZ1038" s="74"/>
      <c r="JA1038" s="74"/>
    </row>
    <row r="1039" spans="1:261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Q1039" s="74"/>
      <c r="R1039" s="74"/>
      <c r="S1039" s="74"/>
      <c r="T1039" s="74"/>
      <c r="U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  <c r="IW1039" s="74"/>
      <c r="IX1039" s="74"/>
      <c r="IY1039" s="74"/>
      <c r="IZ1039" s="74"/>
      <c r="JA1039" s="74"/>
    </row>
    <row r="1040" spans="1:261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Q1040" s="74"/>
      <c r="R1040" s="74"/>
      <c r="S1040" s="74"/>
      <c r="T1040" s="74"/>
      <c r="U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  <c r="IW1040" s="74"/>
      <c r="IX1040" s="74"/>
      <c r="IY1040" s="74"/>
      <c r="IZ1040" s="74"/>
      <c r="JA1040" s="74"/>
    </row>
    <row r="1041" spans="1:261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Q1041" s="74"/>
      <c r="R1041" s="74"/>
      <c r="S1041" s="74"/>
      <c r="T1041" s="74"/>
      <c r="U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  <c r="IW1041" s="74"/>
      <c r="IX1041" s="74"/>
      <c r="IY1041" s="74"/>
      <c r="IZ1041" s="74"/>
      <c r="JA1041" s="74"/>
    </row>
    <row r="1042" spans="1:261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Q1042" s="74"/>
      <c r="R1042" s="74"/>
      <c r="S1042" s="74"/>
      <c r="T1042" s="74"/>
      <c r="U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  <c r="IW1042" s="74"/>
      <c r="IX1042" s="74"/>
      <c r="IY1042" s="74"/>
      <c r="IZ1042" s="74"/>
      <c r="JA1042" s="74"/>
    </row>
    <row r="1043" spans="1:261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Q1043" s="74"/>
      <c r="R1043" s="74"/>
      <c r="S1043" s="74"/>
      <c r="T1043" s="74"/>
      <c r="U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  <c r="IW1043" s="74"/>
      <c r="IX1043" s="74"/>
      <c r="IY1043" s="74"/>
      <c r="IZ1043" s="74"/>
      <c r="JA1043" s="74"/>
    </row>
    <row r="1044" spans="1:261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Q1044" s="74"/>
      <c r="R1044" s="74"/>
      <c r="S1044" s="74"/>
      <c r="T1044" s="74"/>
      <c r="U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  <c r="IW1044" s="74"/>
      <c r="IX1044" s="74"/>
      <c r="IY1044" s="74"/>
      <c r="IZ1044" s="74"/>
      <c r="JA1044" s="74"/>
    </row>
    <row r="1045" spans="1:261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Q1045" s="74"/>
      <c r="R1045" s="74"/>
      <c r="S1045" s="74"/>
      <c r="T1045" s="74"/>
      <c r="U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  <c r="IW1045" s="74"/>
      <c r="IX1045" s="74"/>
      <c r="IY1045" s="74"/>
      <c r="IZ1045" s="74"/>
      <c r="JA1045" s="74"/>
    </row>
    <row r="1046" spans="1:261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74"/>
      <c r="R1046" s="74"/>
      <c r="S1046" s="74"/>
      <c r="T1046" s="74"/>
      <c r="U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  <c r="IW1046" s="74"/>
      <c r="IX1046" s="74"/>
      <c r="IY1046" s="74"/>
      <c r="IZ1046" s="74"/>
      <c r="JA1046" s="74"/>
    </row>
    <row r="1047" spans="1:261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Q1047" s="74"/>
      <c r="R1047" s="74"/>
      <c r="S1047" s="74"/>
      <c r="T1047" s="74"/>
      <c r="U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  <c r="IW1047" s="74"/>
      <c r="IX1047" s="74"/>
      <c r="IY1047" s="74"/>
      <c r="IZ1047" s="74"/>
      <c r="JA1047" s="74"/>
    </row>
    <row r="1048" spans="1:261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Q1048" s="74"/>
      <c r="R1048" s="74"/>
      <c r="S1048" s="74"/>
      <c r="T1048" s="74"/>
      <c r="U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  <c r="IW1048" s="74"/>
      <c r="IX1048" s="74"/>
      <c r="IY1048" s="74"/>
      <c r="IZ1048" s="74"/>
      <c r="JA1048" s="74"/>
    </row>
    <row r="1049" spans="1:261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Q1049" s="74"/>
      <c r="R1049" s="74"/>
      <c r="S1049" s="74"/>
      <c r="T1049" s="74"/>
      <c r="U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  <c r="IW1049" s="74"/>
      <c r="IX1049" s="74"/>
      <c r="IY1049" s="74"/>
      <c r="IZ1049" s="74"/>
      <c r="JA1049" s="74"/>
    </row>
    <row r="1050" spans="1:261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Q1050" s="74"/>
      <c r="R1050" s="74"/>
      <c r="S1050" s="74"/>
      <c r="T1050" s="74"/>
      <c r="U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  <c r="IW1050" s="74"/>
      <c r="IX1050" s="74"/>
      <c r="IY1050" s="74"/>
      <c r="IZ1050" s="74"/>
      <c r="JA1050" s="74"/>
    </row>
    <row r="1051" spans="1:261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74"/>
      <c r="R1051" s="74"/>
      <c r="S1051" s="74"/>
      <c r="T1051" s="74"/>
      <c r="U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  <c r="IW1051" s="74"/>
      <c r="IX1051" s="74"/>
      <c r="IY1051" s="74"/>
      <c r="IZ1051" s="74"/>
      <c r="JA1051" s="74"/>
    </row>
    <row r="1052" spans="1:261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Q1052" s="74"/>
      <c r="R1052" s="74"/>
      <c r="S1052" s="74"/>
      <c r="T1052" s="74"/>
      <c r="U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  <c r="IW1052" s="74"/>
      <c r="IX1052" s="74"/>
      <c r="IY1052" s="74"/>
      <c r="IZ1052" s="74"/>
      <c r="JA1052" s="74"/>
    </row>
    <row r="1053" spans="1:261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Q1053" s="74"/>
      <c r="R1053" s="74"/>
      <c r="S1053" s="74"/>
      <c r="T1053" s="74"/>
      <c r="U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  <c r="IW1053" s="74"/>
      <c r="IX1053" s="74"/>
      <c r="IY1053" s="74"/>
      <c r="IZ1053" s="74"/>
      <c r="JA1053" s="74"/>
    </row>
    <row r="1054" spans="1:261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Q1054" s="74"/>
      <c r="R1054" s="74"/>
      <c r="S1054" s="74"/>
      <c r="T1054" s="74"/>
      <c r="U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  <c r="IW1054" s="74"/>
      <c r="IX1054" s="74"/>
      <c r="IY1054" s="74"/>
      <c r="IZ1054" s="74"/>
      <c r="JA1054" s="74"/>
    </row>
    <row r="1055" spans="1:261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Q1055" s="74"/>
      <c r="R1055" s="74"/>
      <c r="S1055" s="74"/>
      <c r="T1055" s="74"/>
      <c r="U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  <c r="IW1055" s="74"/>
      <c r="IX1055" s="74"/>
      <c r="IY1055" s="74"/>
      <c r="IZ1055" s="74"/>
      <c r="JA1055" s="74"/>
    </row>
    <row r="1056" spans="1:261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Q1056" s="74"/>
      <c r="R1056" s="74"/>
      <c r="S1056" s="74"/>
      <c r="T1056" s="74"/>
      <c r="U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  <c r="IW1056" s="74"/>
      <c r="IX1056" s="74"/>
      <c r="IY1056" s="74"/>
      <c r="IZ1056" s="74"/>
      <c r="JA1056" s="74"/>
    </row>
    <row r="1057" spans="1:261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Q1057" s="74"/>
      <c r="R1057" s="74"/>
      <c r="S1057" s="74"/>
      <c r="T1057" s="74"/>
      <c r="U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  <c r="IW1057" s="74"/>
      <c r="IX1057" s="74"/>
      <c r="IY1057" s="74"/>
      <c r="IZ1057" s="74"/>
      <c r="JA1057" s="74"/>
    </row>
    <row r="1058" spans="1:261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74"/>
      <c r="R1058" s="74"/>
      <c r="S1058" s="74"/>
      <c r="T1058" s="74"/>
      <c r="U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  <c r="IW1058" s="74"/>
      <c r="IX1058" s="74"/>
      <c r="IY1058" s="74"/>
      <c r="IZ1058" s="74"/>
      <c r="JA1058" s="74"/>
    </row>
    <row r="1059" spans="1:261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Q1059" s="74"/>
      <c r="R1059" s="74"/>
      <c r="S1059" s="74"/>
      <c r="T1059" s="74"/>
      <c r="U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  <c r="IW1059" s="74"/>
      <c r="IX1059" s="74"/>
      <c r="IY1059" s="74"/>
      <c r="IZ1059" s="74"/>
      <c r="JA1059" s="74"/>
    </row>
    <row r="1060" spans="1:261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4"/>
      <c r="S1060" s="74"/>
      <c r="T1060" s="74"/>
      <c r="U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  <c r="IW1060" s="74"/>
      <c r="IX1060" s="74"/>
      <c r="IY1060" s="74"/>
      <c r="IZ1060" s="74"/>
      <c r="JA1060" s="74"/>
    </row>
    <row r="1061" spans="1:261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Q1061" s="74"/>
      <c r="R1061" s="74"/>
      <c r="S1061" s="74"/>
      <c r="T1061" s="74"/>
      <c r="U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  <c r="IW1061" s="74"/>
      <c r="IX1061" s="74"/>
      <c r="IY1061" s="74"/>
      <c r="IZ1061" s="74"/>
      <c r="JA1061" s="74"/>
    </row>
    <row r="1062" spans="1:261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4"/>
      <c r="S1062" s="74"/>
      <c r="T1062" s="74"/>
      <c r="U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  <c r="IW1062" s="74"/>
      <c r="IX1062" s="74"/>
      <c r="IY1062" s="74"/>
      <c r="IZ1062" s="74"/>
      <c r="JA1062" s="74"/>
    </row>
    <row r="1063" spans="1:261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Q1063" s="74"/>
      <c r="R1063" s="74"/>
      <c r="S1063" s="74"/>
      <c r="T1063" s="74"/>
      <c r="U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  <c r="IW1063" s="74"/>
      <c r="IX1063" s="74"/>
      <c r="IY1063" s="74"/>
      <c r="IZ1063" s="74"/>
      <c r="JA1063" s="74"/>
    </row>
    <row r="1064" spans="1:261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Q1064" s="74"/>
      <c r="R1064" s="74"/>
      <c r="S1064" s="74"/>
      <c r="T1064" s="74"/>
      <c r="U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  <c r="IW1064" s="74"/>
      <c r="IX1064" s="74"/>
      <c r="IY1064" s="74"/>
      <c r="IZ1064" s="74"/>
      <c r="JA1064" s="74"/>
    </row>
    <row r="1065" spans="1:261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Q1065" s="74"/>
      <c r="R1065" s="74"/>
      <c r="S1065" s="74"/>
      <c r="T1065" s="74"/>
      <c r="U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  <c r="IW1065" s="74"/>
      <c r="IX1065" s="74"/>
      <c r="IY1065" s="74"/>
      <c r="IZ1065" s="74"/>
      <c r="JA1065" s="74"/>
    </row>
    <row r="1066" spans="1:261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4"/>
      <c r="S1066" s="74"/>
      <c r="T1066" s="74"/>
      <c r="U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  <c r="IW1066" s="74"/>
      <c r="IX1066" s="74"/>
      <c r="IY1066" s="74"/>
      <c r="IZ1066" s="74"/>
      <c r="JA1066" s="74"/>
    </row>
    <row r="1067" spans="1:261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Q1067" s="74"/>
      <c r="R1067" s="74"/>
      <c r="S1067" s="74"/>
      <c r="T1067" s="74"/>
      <c r="U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  <c r="IW1067" s="74"/>
      <c r="IX1067" s="74"/>
      <c r="IY1067" s="74"/>
      <c r="IZ1067" s="74"/>
      <c r="JA1067" s="74"/>
    </row>
    <row r="1068" spans="1:261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Q1068" s="74"/>
      <c r="R1068" s="74"/>
      <c r="S1068" s="74"/>
      <c r="T1068" s="74"/>
      <c r="U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  <c r="IW1068" s="74"/>
      <c r="IX1068" s="74"/>
      <c r="IY1068" s="74"/>
      <c r="IZ1068" s="74"/>
      <c r="JA1068" s="74"/>
    </row>
    <row r="1069" spans="1:261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Q1069" s="74"/>
      <c r="R1069" s="74"/>
      <c r="S1069" s="74"/>
      <c r="T1069" s="74"/>
      <c r="U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  <c r="IW1069" s="74"/>
      <c r="IX1069" s="74"/>
      <c r="IY1069" s="74"/>
      <c r="IZ1069" s="74"/>
      <c r="JA1069" s="74"/>
    </row>
    <row r="1070" spans="1:261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Q1070" s="74"/>
      <c r="R1070" s="74"/>
      <c r="S1070" s="74"/>
      <c r="T1070" s="74"/>
      <c r="U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  <c r="IW1070" s="74"/>
      <c r="IX1070" s="74"/>
      <c r="IY1070" s="74"/>
      <c r="IZ1070" s="74"/>
      <c r="JA1070" s="74"/>
    </row>
    <row r="1071" spans="1:261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Q1071" s="74"/>
      <c r="R1071" s="74"/>
      <c r="S1071" s="74"/>
      <c r="T1071" s="74"/>
      <c r="U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  <c r="IW1071" s="74"/>
      <c r="IX1071" s="74"/>
      <c r="IY1071" s="74"/>
      <c r="IZ1071" s="74"/>
      <c r="JA1071" s="74"/>
    </row>
    <row r="1072" spans="1:261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Q1072" s="74"/>
      <c r="R1072" s="74"/>
      <c r="S1072" s="74"/>
      <c r="T1072" s="74"/>
      <c r="U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  <c r="IW1072" s="74"/>
      <c r="IX1072" s="74"/>
      <c r="IY1072" s="74"/>
      <c r="IZ1072" s="74"/>
      <c r="JA1072" s="74"/>
    </row>
    <row r="1073" spans="1:261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Q1073" s="74"/>
      <c r="R1073" s="74"/>
      <c r="S1073" s="74"/>
      <c r="T1073" s="74"/>
      <c r="U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  <c r="IW1073" s="74"/>
      <c r="IX1073" s="74"/>
      <c r="IY1073" s="74"/>
      <c r="IZ1073" s="74"/>
      <c r="JA1073" s="74"/>
    </row>
    <row r="1074" spans="1:261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Q1074" s="74"/>
      <c r="R1074" s="74"/>
      <c r="S1074" s="74"/>
      <c r="T1074" s="74"/>
      <c r="U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  <c r="IW1074" s="74"/>
      <c r="IX1074" s="74"/>
      <c r="IY1074" s="74"/>
      <c r="IZ1074" s="74"/>
      <c r="JA1074" s="74"/>
    </row>
    <row r="1075" spans="1:261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Q1075" s="74"/>
      <c r="R1075" s="74"/>
      <c r="S1075" s="74"/>
      <c r="T1075" s="74"/>
      <c r="U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  <c r="IW1075" s="74"/>
      <c r="IX1075" s="74"/>
      <c r="IY1075" s="74"/>
      <c r="IZ1075" s="74"/>
      <c r="JA1075" s="74"/>
    </row>
    <row r="1076" spans="1:261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Q1076" s="74"/>
      <c r="R1076" s="74"/>
      <c r="S1076" s="74"/>
      <c r="T1076" s="74"/>
      <c r="U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  <c r="IW1076" s="74"/>
      <c r="IX1076" s="74"/>
      <c r="IY1076" s="74"/>
      <c r="IZ1076" s="74"/>
      <c r="JA1076" s="74"/>
    </row>
    <row r="1077" spans="1:261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Q1077" s="74"/>
      <c r="R1077" s="74"/>
      <c r="S1077" s="74"/>
      <c r="T1077" s="74"/>
      <c r="U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  <c r="IW1077" s="74"/>
      <c r="IX1077" s="74"/>
      <c r="IY1077" s="74"/>
      <c r="IZ1077" s="74"/>
      <c r="JA1077" s="74"/>
    </row>
    <row r="1078" spans="1:261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Q1078" s="74"/>
      <c r="R1078" s="74"/>
      <c r="S1078" s="74"/>
      <c r="T1078" s="74"/>
      <c r="U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  <c r="IW1078" s="74"/>
      <c r="IX1078" s="74"/>
      <c r="IY1078" s="74"/>
      <c r="IZ1078" s="74"/>
      <c r="JA1078" s="74"/>
    </row>
    <row r="1079" spans="1:261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Q1079" s="74"/>
      <c r="R1079" s="74"/>
      <c r="S1079" s="74"/>
      <c r="T1079" s="74"/>
      <c r="U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  <c r="IW1079" s="74"/>
      <c r="IX1079" s="74"/>
      <c r="IY1079" s="74"/>
      <c r="IZ1079" s="74"/>
      <c r="JA1079" s="74"/>
    </row>
    <row r="1080" spans="1:261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Q1080" s="74"/>
      <c r="R1080" s="74"/>
      <c r="S1080" s="74"/>
      <c r="T1080" s="74"/>
      <c r="U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  <c r="IW1080" s="74"/>
      <c r="IX1080" s="74"/>
      <c r="IY1080" s="74"/>
      <c r="IZ1080" s="74"/>
      <c r="JA1080" s="74"/>
    </row>
    <row r="1081" spans="1:261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  <c r="IW1081" s="74"/>
      <c r="IX1081" s="74"/>
      <c r="IY1081" s="74"/>
      <c r="IZ1081" s="74"/>
      <c r="JA1081" s="74"/>
    </row>
    <row r="1082" spans="1:261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  <c r="IW1082" s="74"/>
      <c r="IX1082" s="74"/>
      <c r="IY1082" s="74"/>
      <c r="IZ1082" s="74"/>
      <c r="JA1082" s="74"/>
    </row>
    <row r="1083" spans="1:261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Q1083" s="74"/>
      <c r="R1083" s="74"/>
      <c r="S1083" s="74"/>
      <c r="T1083" s="74"/>
      <c r="U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  <c r="IW1083" s="74"/>
      <c r="IX1083" s="74"/>
      <c r="IY1083" s="74"/>
      <c r="IZ1083" s="74"/>
      <c r="JA1083" s="74"/>
    </row>
    <row r="1084" spans="1:261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Q1084" s="74"/>
      <c r="R1084" s="74"/>
      <c r="S1084" s="74"/>
      <c r="T1084" s="74"/>
      <c r="U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  <c r="IW1084" s="74"/>
      <c r="IX1084" s="74"/>
      <c r="IY1084" s="74"/>
      <c r="IZ1084" s="74"/>
      <c r="JA1084" s="74"/>
    </row>
    <row r="1085" spans="1:261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Q1085" s="74"/>
      <c r="R1085" s="74"/>
      <c r="S1085" s="74"/>
      <c r="T1085" s="74"/>
      <c r="U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  <c r="IW1085" s="74"/>
      <c r="IX1085" s="74"/>
      <c r="IY1085" s="74"/>
      <c r="IZ1085" s="74"/>
      <c r="JA1085" s="74"/>
    </row>
    <row r="1086" spans="1:261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Q1086" s="74"/>
      <c r="R1086" s="74"/>
      <c r="S1086" s="74"/>
      <c r="T1086" s="74"/>
      <c r="U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  <c r="IW1086" s="74"/>
      <c r="IX1086" s="74"/>
      <c r="IY1086" s="74"/>
      <c r="IZ1086" s="74"/>
      <c r="JA1086" s="74"/>
    </row>
    <row r="1087" spans="1:261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Q1087" s="74"/>
      <c r="R1087" s="74"/>
      <c r="S1087" s="74"/>
      <c r="T1087" s="74"/>
      <c r="U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  <c r="IW1087" s="74"/>
      <c r="IX1087" s="74"/>
      <c r="IY1087" s="74"/>
      <c r="IZ1087" s="74"/>
      <c r="JA1087" s="74"/>
    </row>
    <row r="1088" spans="1:261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Q1088" s="74"/>
      <c r="R1088" s="74"/>
      <c r="S1088" s="74"/>
      <c r="T1088" s="74"/>
      <c r="U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  <c r="IW1088" s="74"/>
      <c r="IX1088" s="74"/>
      <c r="IY1088" s="74"/>
      <c r="IZ1088" s="74"/>
      <c r="JA1088" s="74"/>
    </row>
    <row r="1089" spans="1:261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Q1089" s="74"/>
      <c r="R1089" s="74"/>
      <c r="S1089" s="74"/>
      <c r="T1089" s="74"/>
      <c r="U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  <c r="IW1089" s="74"/>
      <c r="IX1089" s="74"/>
      <c r="IY1089" s="74"/>
      <c r="IZ1089" s="74"/>
      <c r="JA1089" s="74"/>
    </row>
    <row r="1090" spans="1:261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Q1090" s="74"/>
      <c r="R1090" s="74"/>
      <c r="S1090" s="74"/>
      <c r="T1090" s="74"/>
      <c r="U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  <c r="IW1090" s="74"/>
      <c r="IX1090" s="74"/>
      <c r="IY1090" s="74"/>
      <c r="IZ1090" s="74"/>
      <c r="JA1090" s="74"/>
    </row>
    <row r="1091" spans="1:261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Q1091" s="74"/>
      <c r="R1091" s="74"/>
      <c r="S1091" s="74"/>
      <c r="T1091" s="74"/>
      <c r="U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  <c r="IW1091" s="74"/>
      <c r="IX1091" s="74"/>
      <c r="IY1091" s="74"/>
      <c r="IZ1091" s="74"/>
      <c r="JA1091" s="74"/>
    </row>
    <row r="1092" spans="1:261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Q1092" s="74"/>
      <c r="R1092" s="74"/>
      <c r="S1092" s="74"/>
      <c r="T1092" s="74"/>
      <c r="U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  <c r="IW1092" s="74"/>
      <c r="IX1092" s="74"/>
      <c r="IY1092" s="74"/>
      <c r="IZ1092" s="74"/>
      <c r="JA1092" s="74"/>
    </row>
    <row r="1093" spans="1:261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Q1093" s="74"/>
      <c r="R1093" s="74"/>
      <c r="S1093" s="74"/>
      <c r="T1093" s="74"/>
      <c r="U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  <c r="IW1093" s="74"/>
      <c r="IX1093" s="74"/>
      <c r="IY1093" s="74"/>
      <c r="IZ1093" s="74"/>
      <c r="JA1093" s="74"/>
    </row>
    <row r="1094" spans="1:261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Q1094" s="74"/>
      <c r="R1094" s="74"/>
      <c r="S1094" s="74"/>
      <c r="T1094" s="74"/>
      <c r="U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  <c r="IW1094" s="74"/>
      <c r="IX1094" s="74"/>
      <c r="IY1094" s="74"/>
      <c r="IZ1094" s="74"/>
      <c r="JA1094" s="74"/>
    </row>
    <row r="1095" spans="1:261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Q1095" s="74"/>
      <c r="R1095" s="74"/>
      <c r="S1095" s="74"/>
      <c r="T1095" s="74"/>
      <c r="U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  <c r="IW1095" s="74"/>
      <c r="IX1095" s="74"/>
      <c r="IY1095" s="74"/>
      <c r="IZ1095" s="74"/>
      <c r="JA1095" s="74"/>
    </row>
    <row r="1096" spans="1:261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Q1096" s="74"/>
      <c r="R1096" s="74"/>
      <c r="S1096" s="74"/>
      <c r="T1096" s="74"/>
      <c r="U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  <c r="IW1096" s="74"/>
      <c r="IX1096" s="74"/>
      <c r="IY1096" s="74"/>
      <c r="IZ1096" s="74"/>
      <c r="JA1096" s="74"/>
    </row>
    <row r="1097" spans="1:261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Q1097" s="74"/>
      <c r="R1097" s="74"/>
      <c r="S1097" s="74"/>
      <c r="T1097" s="74"/>
      <c r="U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  <c r="IW1097" s="74"/>
      <c r="IX1097" s="74"/>
      <c r="IY1097" s="74"/>
      <c r="IZ1097" s="74"/>
      <c r="JA1097" s="74"/>
    </row>
    <row r="1098" spans="1:261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Q1098" s="74"/>
      <c r="R1098" s="74"/>
      <c r="S1098" s="74"/>
      <c r="T1098" s="74"/>
      <c r="U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  <c r="IW1098" s="74"/>
      <c r="IX1098" s="74"/>
      <c r="IY1098" s="74"/>
      <c r="IZ1098" s="74"/>
      <c r="JA1098" s="74"/>
    </row>
    <row r="1099" spans="1:261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Q1099" s="74"/>
      <c r="R1099" s="74"/>
      <c r="S1099" s="74"/>
      <c r="T1099" s="74"/>
      <c r="U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  <c r="IW1099" s="74"/>
      <c r="IX1099" s="74"/>
      <c r="IY1099" s="74"/>
      <c r="IZ1099" s="74"/>
      <c r="JA1099" s="74"/>
    </row>
    <row r="1100" spans="1:261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Q1100" s="74"/>
      <c r="R1100" s="74"/>
      <c r="S1100" s="74"/>
      <c r="T1100" s="74"/>
      <c r="U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  <c r="IW1100" s="74"/>
      <c r="IX1100" s="74"/>
      <c r="IY1100" s="74"/>
      <c r="IZ1100" s="74"/>
      <c r="JA1100" s="74"/>
    </row>
    <row r="1101" spans="1:261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Q1101" s="74"/>
      <c r="R1101" s="74"/>
      <c r="S1101" s="74"/>
      <c r="T1101" s="74"/>
      <c r="U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  <c r="IW1101" s="74"/>
      <c r="IX1101" s="74"/>
      <c r="IY1101" s="74"/>
      <c r="IZ1101" s="74"/>
      <c r="JA1101" s="74"/>
    </row>
    <row r="1102" spans="1:261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Q1102" s="74"/>
      <c r="R1102" s="74"/>
      <c r="S1102" s="74"/>
      <c r="T1102" s="74"/>
      <c r="U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  <c r="IW1102" s="74"/>
      <c r="IX1102" s="74"/>
      <c r="IY1102" s="74"/>
      <c r="IZ1102" s="74"/>
      <c r="JA1102" s="74"/>
    </row>
    <row r="1103" spans="1:261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4"/>
      <c r="S1103" s="74"/>
      <c r="T1103" s="74"/>
      <c r="U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  <c r="IW1103" s="74"/>
      <c r="IX1103" s="74"/>
      <c r="IY1103" s="74"/>
      <c r="IZ1103" s="74"/>
      <c r="JA1103" s="74"/>
    </row>
    <row r="1104" spans="1:261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Q1104" s="74"/>
      <c r="R1104" s="74"/>
      <c r="S1104" s="74"/>
      <c r="T1104" s="74"/>
      <c r="U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  <c r="IW1104" s="74"/>
      <c r="IX1104" s="74"/>
      <c r="IY1104" s="74"/>
      <c r="IZ1104" s="74"/>
      <c r="JA1104" s="74"/>
    </row>
    <row r="1105" spans="1:261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4"/>
      <c r="S1105" s="74"/>
      <c r="T1105" s="74"/>
      <c r="U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  <c r="IW1105" s="74"/>
      <c r="IX1105" s="74"/>
      <c r="IY1105" s="74"/>
      <c r="IZ1105" s="74"/>
      <c r="JA1105" s="74"/>
    </row>
    <row r="1106" spans="1:261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Q1106" s="74"/>
      <c r="R1106" s="74"/>
      <c r="S1106" s="74"/>
      <c r="T1106" s="74"/>
      <c r="U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  <c r="IW1106" s="74"/>
      <c r="IX1106" s="74"/>
      <c r="IY1106" s="74"/>
      <c r="IZ1106" s="74"/>
      <c r="JA1106" s="74"/>
    </row>
    <row r="1107" spans="1:261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Q1107" s="74"/>
      <c r="R1107" s="74"/>
      <c r="S1107" s="74"/>
      <c r="T1107" s="74"/>
      <c r="U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  <c r="IW1107" s="74"/>
      <c r="IX1107" s="74"/>
      <c r="IY1107" s="74"/>
      <c r="IZ1107" s="74"/>
      <c r="JA1107" s="74"/>
    </row>
    <row r="1108" spans="1:261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Q1108" s="74"/>
      <c r="R1108" s="74"/>
      <c r="S1108" s="74"/>
      <c r="T1108" s="74"/>
      <c r="U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  <c r="IW1108" s="74"/>
      <c r="IX1108" s="74"/>
      <c r="IY1108" s="74"/>
      <c r="IZ1108" s="74"/>
      <c r="JA1108" s="74"/>
    </row>
    <row r="1109" spans="1:261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Q1109" s="74"/>
      <c r="R1109" s="74"/>
      <c r="S1109" s="74"/>
      <c r="T1109" s="74"/>
      <c r="U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  <c r="IW1109" s="74"/>
      <c r="IX1109" s="74"/>
      <c r="IY1109" s="74"/>
      <c r="IZ1109" s="74"/>
      <c r="JA1109" s="74"/>
    </row>
    <row r="1110" spans="1:261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4"/>
      <c r="S1110" s="74"/>
      <c r="T1110" s="74"/>
      <c r="U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  <c r="IW1110" s="74"/>
      <c r="IX1110" s="74"/>
      <c r="IY1110" s="74"/>
      <c r="IZ1110" s="74"/>
      <c r="JA1110" s="74"/>
    </row>
    <row r="1111" spans="1:261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Q1111" s="74"/>
      <c r="R1111" s="74"/>
      <c r="S1111" s="74"/>
      <c r="T1111" s="74"/>
      <c r="U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  <c r="IW1111" s="74"/>
      <c r="IX1111" s="74"/>
      <c r="IY1111" s="74"/>
      <c r="IZ1111" s="74"/>
      <c r="JA1111" s="74"/>
    </row>
    <row r="1112" spans="1:261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Q1112" s="74"/>
      <c r="R1112" s="74"/>
      <c r="S1112" s="74"/>
      <c r="T1112" s="74"/>
      <c r="U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  <c r="IW1112" s="74"/>
      <c r="IX1112" s="74"/>
      <c r="IY1112" s="74"/>
      <c r="IZ1112" s="74"/>
      <c r="JA1112" s="74"/>
    </row>
    <row r="1113" spans="1:261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Q1113" s="74"/>
      <c r="R1113" s="74"/>
      <c r="S1113" s="74"/>
      <c r="T1113" s="74"/>
      <c r="U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  <c r="IW1113" s="74"/>
      <c r="IX1113" s="74"/>
      <c r="IY1113" s="74"/>
      <c r="IZ1113" s="74"/>
      <c r="JA1113" s="74"/>
    </row>
    <row r="1114" spans="1:261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Q1114" s="74"/>
      <c r="R1114" s="74"/>
      <c r="S1114" s="74"/>
      <c r="T1114" s="74"/>
      <c r="U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  <c r="IW1114" s="74"/>
      <c r="IX1114" s="74"/>
      <c r="IY1114" s="74"/>
      <c r="IZ1114" s="74"/>
      <c r="JA1114" s="74"/>
    </row>
    <row r="1115" spans="1:261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Q1115" s="74"/>
      <c r="R1115" s="74"/>
      <c r="S1115" s="74"/>
      <c r="T1115" s="74"/>
      <c r="U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  <c r="IW1115" s="74"/>
      <c r="IX1115" s="74"/>
      <c r="IY1115" s="74"/>
      <c r="IZ1115" s="74"/>
      <c r="JA1115" s="74"/>
    </row>
    <row r="1116" spans="1:261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Q1116" s="74"/>
      <c r="R1116" s="74"/>
      <c r="S1116" s="74"/>
      <c r="T1116" s="74"/>
      <c r="U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  <c r="IW1116" s="74"/>
      <c r="IX1116" s="74"/>
      <c r="IY1116" s="74"/>
      <c r="IZ1116" s="74"/>
      <c r="JA1116" s="74"/>
    </row>
    <row r="1117" spans="1:261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Q1117" s="74"/>
      <c r="R1117" s="74"/>
      <c r="S1117" s="74"/>
      <c r="T1117" s="74"/>
      <c r="U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  <c r="IW1117" s="74"/>
      <c r="IX1117" s="74"/>
      <c r="IY1117" s="74"/>
      <c r="IZ1117" s="74"/>
      <c r="JA1117" s="74"/>
    </row>
    <row r="1118" spans="1:261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Q1118" s="74"/>
      <c r="R1118" s="74"/>
      <c r="S1118" s="74"/>
      <c r="T1118" s="74"/>
      <c r="U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  <c r="IW1118" s="74"/>
      <c r="IX1118" s="74"/>
      <c r="IY1118" s="74"/>
      <c r="IZ1118" s="74"/>
      <c r="JA1118" s="74"/>
    </row>
    <row r="1119" spans="1:261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Q1119" s="74"/>
      <c r="R1119" s="74"/>
      <c r="S1119" s="74"/>
      <c r="T1119" s="74"/>
      <c r="U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  <c r="IW1119" s="74"/>
      <c r="IX1119" s="74"/>
      <c r="IY1119" s="74"/>
      <c r="IZ1119" s="74"/>
      <c r="JA1119" s="74"/>
    </row>
    <row r="1120" spans="1:261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Q1120" s="74"/>
      <c r="R1120" s="74"/>
      <c r="S1120" s="74"/>
      <c r="T1120" s="74"/>
      <c r="U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  <c r="IW1120" s="74"/>
      <c r="IX1120" s="74"/>
      <c r="IY1120" s="74"/>
      <c r="IZ1120" s="74"/>
      <c r="JA1120" s="74"/>
    </row>
    <row r="1121" spans="1:261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Q1121" s="74"/>
      <c r="R1121" s="74"/>
      <c r="S1121" s="74"/>
      <c r="T1121" s="74"/>
      <c r="U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  <c r="IW1121" s="74"/>
      <c r="IX1121" s="74"/>
      <c r="IY1121" s="74"/>
      <c r="IZ1121" s="74"/>
      <c r="JA1121" s="74"/>
    </row>
    <row r="1122" spans="1:261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Q1122" s="74"/>
      <c r="R1122" s="74"/>
      <c r="S1122" s="74"/>
      <c r="T1122" s="74"/>
      <c r="U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  <c r="IW1122" s="74"/>
      <c r="IX1122" s="74"/>
      <c r="IY1122" s="74"/>
      <c r="IZ1122" s="74"/>
      <c r="JA1122" s="74"/>
    </row>
    <row r="1123" spans="1:261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Q1123" s="74"/>
      <c r="R1123" s="74"/>
      <c r="S1123" s="74"/>
      <c r="T1123" s="74"/>
      <c r="U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  <c r="IW1123" s="74"/>
      <c r="IX1123" s="74"/>
      <c r="IY1123" s="74"/>
      <c r="IZ1123" s="74"/>
      <c r="JA1123" s="74"/>
    </row>
    <row r="1124" spans="1:261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Q1124" s="74"/>
      <c r="R1124" s="74"/>
      <c r="S1124" s="74"/>
      <c r="T1124" s="74"/>
      <c r="U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  <c r="IW1124" s="74"/>
      <c r="IX1124" s="74"/>
      <c r="IY1124" s="74"/>
      <c r="IZ1124" s="74"/>
      <c r="JA1124" s="74"/>
    </row>
    <row r="1125" spans="1:261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Q1125" s="74"/>
      <c r="R1125" s="74"/>
      <c r="S1125" s="74"/>
      <c r="T1125" s="74"/>
      <c r="U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  <c r="IW1125" s="74"/>
      <c r="IX1125" s="74"/>
      <c r="IY1125" s="74"/>
      <c r="IZ1125" s="74"/>
      <c r="JA1125" s="74"/>
    </row>
    <row r="1126" spans="1:261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  <c r="IW1126" s="74"/>
      <c r="IX1126" s="74"/>
      <c r="IY1126" s="74"/>
      <c r="IZ1126" s="74"/>
      <c r="JA1126" s="74"/>
    </row>
    <row r="1127" spans="1:261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  <c r="IW1127" s="74"/>
      <c r="IX1127" s="74"/>
      <c r="IY1127" s="74"/>
      <c r="IZ1127" s="74"/>
      <c r="JA1127" s="74"/>
    </row>
    <row r="1128" spans="1:261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Q1128" s="74"/>
      <c r="R1128" s="74"/>
      <c r="S1128" s="74"/>
      <c r="T1128" s="74"/>
      <c r="U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  <c r="IW1128" s="74"/>
      <c r="IX1128" s="74"/>
      <c r="IY1128" s="74"/>
      <c r="IZ1128" s="74"/>
      <c r="JA1128" s="74"/>
    </row>
    <row r="1129" spans="1:261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Q1129" s="74"/>
      <c r="R1129" s="74"/>
      <c r="S1129" s="74"/>
      <c r="T1129" s="74"/>
      <c r="U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  <c r="IW1129" s="74"/>
      <c r="IX1129" s="74"/>
      <c r="IY1129" s="74"/>
      <c r="IZ1129" s="74"/>
      <c r="JA1129" s="74"/>
    </row>
    <row r="1130" spans="1:261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Q1130" s="74"/>
      <c r="R1130" s="74"/>
      <c r="S1130" s="74"/>
      <c r="T1130" s="74"/>
      <c r="U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  <c r="IW1130" s="74"/>
      <c r="IX1130" s="74"/>
      <c r="IY1130" s="74"/>
      <c r="IZ1130" s="74"/>
      <c r="JA1130" s="74"/>
    </row>
    <row r="1131" spans="1:261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Q1131" s="74"/>
      <c r="R1131" s="74"/>
      <c r="S1131" s="74"/>
      <c r="T1131" s="74"/>
      <c r="U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  <c r="IW1131" s="74"/>
      <c r="IX1131" s="74"/>
      <c r="IY1131" s="74"/>
      <c r="IZ1131" s="74"/>
      <c r="JA1131" s="74"/>
    </row>
    <row r="1132" spans="1:261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Q1132" s="74"/>
      <c r="R1132" s="74"/>
      <c r="S1132" s="74"/>
      <c r="T1132" s="74"/>
      <c r="U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  <c r="IW1132" s="74"/>
      <c r="IX1132" s="74"/>
      <c r="IY1132" s="74"/>
      <c r="IZ1132" s="74"/>
      <c r="JA1132" s="74"/>
    </row>
    <row r="1133" spans="1:261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Q1133" s="74"/>
      <c r="R1133" s="74"/>
      <c r="S1133" s="74"/>
      <c r="T1133" s="74"/>
      <c r="U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  <c r="IW1133" s="74"/>
      <c r="IX1133" s="74"/>
      <c r="IY1133" s="74"/>
      <c r="IZ1133" s="74"/>
      <c r="JA1133" s="74"/>
    </row>
    <row r="1134" spans="1:261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Q1134" s="74"/>
      <c r="R1134" s="74"/>
      <c r="S1134" s="74"/>
      <c r="T1134" s="74"/>
      <c r="U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  <c r="IW1134" s="74"/>
      <c r="IX1134" s="74"/>
      <c r="IY1134" s="74"/>
      <c r="IZ1134" s="74"/>
      <c r="JA1134" s="74"/>
    </row>
    <row r="1135" spans="1:261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Q1135" s="74"/>
      <c r="R1135" s="74"/>
      <c r="S1135" s="74"/>
      <c r="T1135" s="74"/>
      <c r="U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  <c r="IW1135" s="74"/>
      <c r="IX1135" s="74"/>
      <c r="IY1135" s="74"/>
      <c r="IZ1135" s="74"/>
      <c r="JA1135" s="74"/>
    </row>
    <row r="1136" spans="1:261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Q1136" s="74"/>
      <c r="R1136" s="74"/>
      <c r="S1136" s="74"/>
      <c r="T1136" s="74"/>
      <c r="U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  <c r="IW1136" s="74"/>
      <c r="IX1136" s="74"/>
      <c r="IY1136" s="74"/>
      <c r="IZ1136" s="74"/>
      <c r="JA1136" s="74"/>
    </row>
    <row r="1137" spans="1:261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Q1137" s="74"/>
      <c r="R1137" s="74"/>
      <c r="S1137" s="74"/>
      <c r="T1137" s="74"/>
      <c r="U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  <c r="IW1137" s="74"/>
      <c r="IX1137" s="74"/>
      <c r="IY1137" s="74"/>
      <c r="IZ1137" s="74"/>
      <c r="JA1137" s="74"/>
    </row>
    <row r="1138" spans="1:261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Q1138" s="74"/>
      <c r="R1138" s="74"/>
      <c r="S1138" s="74"/>
      <c r="T1138" s="74"/>
      <c r="U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  <c r="IW1138" s="74"/>
      <c r="IX1138" s="74"/>
      <c r="IY1138" s="74"/>
      <c r="IZ1138" s="74"/>
      <c r="JA1138" s="74"/>
    </row>
    <row r="1139" spans="1:261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74"/>
      <c r="R1139" s="74"/>
      <c r="S1139" s="74"/>
      <c r="T1139" s="74"/>
      <c r="U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  <c r="IW1139" s="74"/>
      <c r="IX1139" s="74"/>
      <c r="IY1139" s="74"/>
      <c r="IZ1139" s="74"/>
      <c r="JA1139" s="74"/>
    </row>
    <row r="1140" spans="1:261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Q1140" s="74"/>
      <c r="R1140" s="74"/>
      <c r="S1140" s="74"/>
      <c r="T1140" s="74"/>
      <c r="U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  <c r="IW1140" s="74"/>
      <c r="IX1140" s="74"/>
      <c r="IY1140" s="74"/>
      <c r="IZ1140" s="74"/>
      <c r="JA1140" s="74"/>
    </row>
    <row r="1141" spans="1:261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Q1141" s="74"/>
      <c r="R1141" s="74"/>
      <c r="S1141" s="74"/>
      <c r="T1141" s="74"/>
      <c r="U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  <c r="IW1141" s="74"/>
      <c r="IX1141" s="74"/>
      <c r="IY1141" s="74"/>
      <c r="IZ1141" s="74"/>
      <c r="JA1141" s="74"/>
    </row>
    <row r="1142" spans="1:261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Q1142" s="74"/>
      <c r="R1142" s="74"/>
      <c r="S1142" s="74"/>
      <c r="T1142" s="74"/>
      <c r="U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  <c r="IW1142" s="74"/>
      <c r="IX1142" s="74"/>
      <c r="IY1142" s="74"/>
      <c r="IZ1142" s="74"/>
      <c r="JA1142" s="74"/>
    </row>
    <row r="1143" spans="1:261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Q1143" s="74"/>
      <c r="R1143" s="74"/>
      <c r="S1143" s="74"/>
      <c r="T1143" s="74"/>
      <c r="U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  <c r="IW1143" s="74"/>
      <c r="IX1143" s="74"/>
      <c r="IY1143" s="74"/>
      <c r="IZ1143" s="74"/>
      <c r="JA1143" s="74"/>
    </row>
    <row r="1144" spans="1:261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Q1144" s="74"/>
      <c r="R1144" s="74"/>
      <c r="S1144" s="74"/>
      <c r="T1144" s="74"/>
      <c r="U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  <c r="IW1144" s="74"/>
      <c r="IX1144" s="74"/>
      <c r="IY1144" s="74"/>
      <c r="IZ1144" s="74"/>
      <c r="JA1144" s="74"/>
    </row>
    <row r="1145" spans="1:261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Q1145" s="74"/>
      <c r="R1145" s="74"/>
      <c r="S1145" s="74"/>
      <c r="T1145" s="74"/>
      <c r="U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  <c r="IW1145" s="74"/>
      <c r="IX1145" s="74"/>
      <c r="IY1145" s="74"/>
      <c r="IZ1145" s="74"/>
      <c r="JA1145" s="74"/>
    </row>
    <row r="1146" spans="1:261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4"/>
      <c r="S1146" s="74"/>
      <c r="T1146" s="74"/>
      <c r="U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  <c r="IW1146" s="74"/>
      <c r="IX1146" s="74"/>
      <c r="IY1146" s="74"/>
      <c r="IZ1146" s="74"/>
      <c r="JA1146" s="74"/>
    </row>
    <row r="1147" spans="1:261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Q1147" s="74"/>
      <c r="R1147" s="74"/>
      <c r="S1147" s="74"/>
      <c r="T1147" s="74"/>
      <c r="U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  <c r="IW1147" s="74"/>
      <c r="IX1147" s="74"/>
      <c r="IY1147" s="74"/>
      <c r="IZ1147" s="74"/>
      <c r="JA1147" s="74"/>
    </row>
    <row r="1148" spans="1:261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4"/>
      <c r="S1148" s="74"/>
      <c r="T1148" s="74"/>
      <c r="U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  <c r="IW1148" s="74"/>
      <c r="IX1148" s="74"/>
      <c r="IY1148" s="74"/>
      <c r="IZ1148" s="74"/>
      <c r="JA1148" s="74"/>
    </row>
    <row r="1149" spans="1:261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Q1149" s="74"/>
      <c r="R1149" s="74"/>
      <c r="S1149" s="74"/>
      <c r="T1149" s="74"/>
      <c r="U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  <c r="IW1149" s="74"/>
      <c r="IX1149" s="74"/>
      <c r="IY1149" s="74"/>
      <c r="IZ1149" s="74"/>
      <c r="JA1149" s="74"/>
    </row>
    <row r="1150" spans="1:261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Q1150" s="74"/>
      <c r="R1150" s="74"/>
      <c r="S1150" s="74"/>
      <c r="T1150" s="74"/>
      <c r="U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  <c r="IW1150" s="74"/>
      <c r="IX1150" s="74"/>
      <c r="IY1150" s="74"/>
      <c r="IZ1150" s="74"/>
      <c r="JA1150" s="74"/>
    </row>
    <row r="1151" spans="1:261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Q1151" s="74"/>
      <c r="R1151" s="74"/>
      <c r="S1151" s="74"/>
      <c r="T1151" s="74"/>
      <c r="U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  <c r="IW1151" s="74"/>
      <c r="IX1151" s="74"/>
      <c r="IY1151" s="74"/>
      <c r="IZ1151" s="74"/>
      <c r="JA1151" s="74"/>
    </row>
    <row r="1152" spans="1:261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Q1152" s="74"/>
      <c r="R1152" s="74"/>
      <c r="S1152" s="74"/>
      <c r="T1152" s="74"/>
      <c r="U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  <c r="IW1152" s="74"/>
      <c r="IX1152" s="74"/>
      <c r="IY1152" s="74"/>
      <c r="IZ1152" s="74"/>
      <c r="JA1152" s="74"/>
    </row>
    <row r="1153" spans="1:261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4"/>
      <c r="S1153" s="74"/>
      <c r="T1153" s="74"/>
      <c r="U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  <c r="IW1153" s="74"/>
      <c r="IX1153" s="74"/>
      <c r="IY1153" s="74"/>
      <c r="IZ1153" s="74"/>
      <c r="JA1153" s="74"/>
    </row>
    <row r="1154" spans="1:261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Q1154" s="74"/>
      <c r="R1154" s="74"/>
      <c r="S1154" s="74"/>
      <c r="T1154" s="74"/>
      <c r="U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  <c r="IW1154" s="74"/>
      <c r="IX1154" s="74"/>
      <c r="IY1154" s="74"/>
      <c r="IZ1154" s="74"/>
      <c r="JA1154" s="74"/>
    </row>
    <row r="1155" spans="1:261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Q1155" s="74"/>
      <c r="R1155" s="74"/>
      <c r="S1155" s="74"/>
      <c r="T1155" s="74"/>
      <c r="U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  <c r="IW1155" s="74"/>
      <c r="IX1155" s="74"/>
      <c r="IY1155" s="74"/>
      <c r="IZ1155" s="74"/>
      <c r="JA1155" s="74"/>
    </row>
    <row r="1156" spans="1:261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Q1156" s="74"/>
      <c r="R1156" s="74"/>
      <c r="S1156" s="74"/>
      <c r="T1156" s="74"/>
      <c r="U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  <c r="IW1156" s="74"/>
      <c r="IX1156" s="74"/>
      <c r="IY1156" s="74"/>
      <c r="IZ1156" s="74"/>
      <c r="JA1156" s="74"/>
    </row>
    <row r="1157" spans="1:261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Q1157" s="74"/>
      <c r="R1157" s="74"/>
      <c r="S1157" s="74"/>
      <c r="T1157" s="74"/>
      <c r="U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  <c r="IW1157" s="74"/>
      <c r="IX1157" s="74"/>
      <c r="IY1157" s="74"/>
      <c r="IZ1157" s="74"/>
      <c r="JA1157" s="74"/>
    </row>
    <row r="1158" spans="1:261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Q1158" s="74"/>
      <c r="R1158" s="74"/>
      <c r="S1158" s="74"/>
      <c r="T1158" s="74"/>
      <c r="U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  <c r="IW1158" s="74"/>
      <c r="IX1158" s="74"/>
      <c r="IY1158" s="74"/>
      <c r="IZ1158" s="74"/>
      <c r="JA1158" s="74"/>
    </row>
    <row r="1159" spans="1:261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Q1159" s="74"/>
      <c r="R1159" s="74"/>
      <c r="S1159" s="74"/>
      <c r="T1159" s="74"/>
      <c r="U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  <c r="IW1159" s="74"/>
      <c r="IX1159" s="74"/>
      <c r="IY1159" s="74"/>
      <c r="IZ1159" s="74"/>
      <c r="JA1159" s="74"/>
    </row>
    <row r="1160" spans="1:261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Q1160" s="74"/>
      <c r="R1160" s="74"/>
      <c r="S1160" s="74"/>
      <c r="T1160" s="74"/>
      <c r="U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  <c r="IW1160" s="74"/>
      <c r="IX1160" s="74"/>
      <c r="IY1160" s="74"/>
      <c r="IZ1160" s="74"/>
      <c r="JA1160" s="74"/>
    </row>
    <row r="1161" spans="1:261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Q1161" s="74"/>
      <c r="R1161" s="74"/>
      <c r="S1161" s="74"/>
      <c r="T1161" s="74"/>
      <c r="U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  <c r="IW1161" s="74"/>
      <c r="IX1161" s="74"/>
      <c r="IY1161" s="74"/>
      <c r="IZ1161" s="74"/>
      <c r="JA1161" s="74"/>
    </row>
    <row r="1162" spans="1:261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Q1162" s="74"/>
      <c r="R1162" s="74"/>
      <c r="S1162" s="74"/>
      <c r="T1162" s="74"/>
      <c r="U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  <c r="IW1162" s="74"/>
      <c r="IX1162" s="74"/>
      <c r="IY1162" s="74"/>
      <c r="IZ1162" s="74"/>
      <c r="JA1162" s="74"/>
    </row>
    <row r="1163" spans="1:261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Q1163" s="74"/>
      <c r="R1163" s="74"/>
      <c r="S1163" s="74"/>
      <c r="T1163" s="74"/>
      <c r="U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  <c r="IW1163" s="74"/>
      <c r="IX1163" s="74"/>
      <c r="IY1163" s="74"/>
      <c r="IZ1163" s="74"/>
      <c r="JA1163" s="74"/>
    </row>
    <row r="1164" spans="1:261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Q1164" s="74"/>
      <c r="R1164" s="74"/>
      <c r="S1164" s="74"/>
      <c r="T1164" s="74"/>
      <c r="U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  <c r="IW1164" s="74"/>
      <c r="IX1164" s="74"/>
      <c r="IY1164" s="74"/>
      <c r="IZ1164" s="74"/>
      <c r="JA1164" s="74"/>
    </row>
    <row r="1165" spans="1:261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Q1165" s="74"/>
      <c r="R1165" s="74"/>
      <c r="S1165" s="74"/>
      <c r="T1165" s="74"/>
      <c r="U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  <c r="IW1165" s="74"/>
      <c r="IX1165" s="74"/>
      <c r="IY1165" s="74"/>
      <c r="IZ1165" s="74"/>
      <c r="JA1165" s="74"/>
    </row>
    <row r="1166" spans="1:261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Q1166" s="74"/>
      <c r="R1166" s="74"/>
      <c r="S1166" s="74"/>
      <c r="T1166" s="74"/>
      <c r="U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  <c r="IW1166" s="74"/>
      <c r="IX1166" s="74"/>
      <c r="IY1166" s="74"/>
      <c r="IZ1166" s="74"/>
      <c r="JA1166" s="74"/>
    </row>
    <row r="1167" spans="1:261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Q1167" s="74"/>
      <c r="R1167" s="74"/>
      <c r="S1167" s="74"/>
      <c r="T1167" s="74"/>
      <c r="U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  <c r="IW1167" s="74"/>
      <c r="IX1167" s="74"/>
      <c r="IY1167" s="74"/>
      <c r="IZ1167" s="74"/>
      <c r="JA1167" s="74"/>
    </row>
    <row r="1168" spans="1:261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Q1168" s="74"/>
      <c r="R1168" s="74"/>
      <c r="S1168" s="74"/>
      <c r="T1168" s="74"/>
      <c r="U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  <c r="IW1168" s="74"/>
      <c r="IX1168" s="74"/>
      <c r="IY1168" s="74"/>
      <c r="IZ1168" s="74"/>
      <c r="JA1168" s="74"/>
    </row>
    <row r="1169" spans="1:261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Q1169" s="74"/>
      <c r="R1169" s="74"/>
      <c r="S1169" s="74"/>
      <c r="T1169" s="74"/>
      <c r="U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  <c r="IW1169" s="74"/>
      <c r="IX1169" s="74"/>
      <c r="IY1169" s="74"/>
      <c r="IZ1169" s="74"/>
      <c r="JA1169" s="74"/>
    </row>
    <row r="1170" spans="1:261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Q1170" s="74"/>
      <c r="R1170" s="74"/>
      <c r="S1170" s="74"/>
      <c r="T1170" s="74"/>
      <c r="U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  <c r="IW1170" s="74"/>
      <c r="IX1170" s="74"/>
      <c r="IY1170" s="74"/>
      <c r="IZ1170" s="74"/>
      <c r="JA1170" s="74"/>
    </row>
    <row r="1171" spans="1:261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  <c r="IW1171" s="74"/>
      <c r="IX1171" s="74"/>
      <c r="IY1171" s="74"/>
      <c r="IZ1171" s="74"/>
      <c r="JA1171" s="74"/>
    </row>
    <row r="1172" spans="1:261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  <c r="IW1172" s="74"/>
      <c r="IX1172" s="74"/>
      <c r="IY1172" s="74"/>
      <c r="IZ1172" s="74"/>
      <c r="JA1172" s="74"/>
    </row>
    <row r="1173" spans="1:261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Q1173" s="74"/>
      <c r="R1173" s="74"/>
      <c r="S1173" s="74"/>
      <c r="T1173" s="74"/>
      <c r="U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  <c r="IW1173" s="74"/>
      <c r="IX1173" s="74"/>
      <c r="IY1173" s="74"/>
      <c r="IZ1173" s="74"/>
      <c r="JA1173" s="74"/>
    </row>
    <row r="1174" spans="1:261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Q1174" s="74"/>
      <c r="R1174" s="74"/>
      <c r="S1174" s="74"/>
      <c r="T1174" s="74"/>
      <c r="U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  <c r="IW1174" s="74"/>
      <c r="IX1174" s="74"/>
      <c r="IY1174" s="74"/>
      <c r="IZ1174" s="74"/>
      <c r="JA1174" s="74"/>
    </row>
    <row r="1175" spans="1:261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Q1175" s="74"/>
      <c r="R1175" s="74"/>
      <c r="S1175" s="74"/>
      <c r="T1175" s="74"/>
      <c r="U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  <c r="IW1175" s="74"/>
      <c r="IX1175" s="74"/>
      <c r="IY1175" s="74"/>
      <c r="IZ1175" s="74"/>
      <c r="JA1175" s="74"/>
    </row>
    <row r="1176" spans="1:261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Q1176" s="74"/>
      <c r="R1176" s="74"/>
      <c r="S1176" s="74"/>
      <c r="T1176" s="74"/>
      <c r="U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  <c r="IW1176" s="74"/>
      <c r="IX1176" s="74"/>
      <c r="IY1176" s="74"/>
      <c r="IZ1176" s="74"/>
      <c r="JA1176" s="74"/>
    </row>
    <row r="1177" spans="1:261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Q1177" s="74"/>
      <c r="R1177" s="74"/>
      <c r="S1177" s="74"/>
      <c r="T1177" s="74"/>
      <c r="U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  <c r="IW1177" s="74"/>
      <c r="IX1177" s="74"/>
      <c r="IY1177" s="74"/>
      <c r="IZ1177" s="74"/>
      <c r="JA1177" s="74"/>
    </row>
    <row r="1178" spans="1:261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Q1178" s="74"/>
      <c r="R1178" s="74"/>
      <c r="S1178" s="74"/>
      <c r="T1178" s="74"/>
      <c r="U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  <c r="IW1178" s="74"/>
      <c r="IX1178" s="74"/>
      <c r="IY1178" s="74"/>
      <c r="IZ1178" s="74"/>
      <c r="JA1178" s="74"/>
    </row>
    <row r="1179" spans="1:261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Q1179" s="74"/>
      <c r="R1179" s="74"/>
      <c r="S1179" s="74"/>
      <c r="T1179" s="74"/>
      <c r="U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  <c r="IW1179" s="74"/>
      <c r="IX1179" s="74"/>
      <c r="IY1179" s="74"/>
      <c r="IZ1179" s="74"/>
      <c r="JA1179" s="74"/>
    </row>
    <row r="1180" spans="1:261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Q1180" s="74"/>
      <c r="R1180" s="74"/>
      <c r="S1180" s="74"/>
      <c r="T1180" s="74"/>
      <c r="U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  <c r="IW1180" s="74"/>
      <c r="IX1180" s="74"/>
      <c r="IY1180" s="74"/>
      <c r="IZ1180" s="74"/>
      <c r="JA1180" s="74"/>
    </row>
    <row r="1181" spans="1:261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Q1181" s="74"/>
      <c r="R1181" s="74"/>
      <c r="S1181" s="74"/>
      <c r="T1181" s="74"/>
      <c r="U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  <c r="IW1181" s="74"/>
      <c r="IX1181" s="74"/>
      <c r="IY1181" s="74"/>
      <c r="IZ1181" s="74"/>
      <c r="JA1181" s="74"/>
    </row>
    <row r="1182" spans="1:261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Q1182" s="74"/>
      <c r="R1182" s="74"/>
      <c r="S1182" s="74"/>
      <c r="T1182" s="74"/>
      <c r="U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  <c r="IW1182" s="74"/>
      <c r="IX1182" s="74"/>
      <c r="IY1182" s="74"/>
      <c r="IZ1182" s="74"/>
      <c r="JA1182" s="74"/>
    </row>
    <row r="1183" spans="1:261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Q1183" s="74"/>
      <c r="R1183" s="74"/>
      <c r="S1183" s="74"/>
      <c r="T1183" s="74"/>
      <c r="U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  <c r="IW1183" s="74"/>
      <c r="IX1183" s="74"/>
      <c r="IY1183" s="74"/>
      <c r="IZ1183" s="74"/>
      <c r="JA1183" s="74"/>
    </row>
    <row r="1184" spans="1:261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Q1184" s="74"/>
      <c r="R1184" s="74"/>
      <c r="S1184" s="74"/>
      <c r="T1184" s="74"/>
      <c r="U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  <c r="IW1184" s="74"/>
      <c r="IX1184" s="74"/>
      <c r="IY1184" s="74"/>
      <c r="IZ1184" s="74"/>
      <c r="JA1184" s="74"/>
    </row>
    <row r="1185" spans="1:261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Q1185" s="74"/>
      <c r="R1185" s="74"/>
      <c r="S1185" s="74"/>
      <c r="T1185" s="74"/>
      <c r="U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  <c r="IW1185" s="74"/>
      <c r="IX1185" s="74"/>
      <c r="IY1185" s="74"/>
      <c r="IZ1185" s="74"/>
      <c r="JA1185" s="74"/>
    </row>
    <row r="1186" spans="1:261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Q1186" s="74"/>
      <c r="R1186" s="74"/>
      <c r="S1186" s="74"/>
      <c r="T1186" s="74"/>
      <c r="U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  <c r="IW1186" s="74"/>
      <c r="IX1186" s="74"/>
      <c r="IY1186" s="74"/>
      <c r="IZ1186" s="74"/>
      <c r="JA1186" s="74"/>
    </row>
    <row r="1187" spans="1:261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Q1187" s="74"/>
      <c r="R1187" s="74"/>
      <c r="S1187" s="74"/>
      <c r="T1187" s="74"/>
      <c r="U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  <c r="IW1187" s="74"/>
      <c r="IX1187" s="74"/>
      <c r="IY1187" s="74"/>
      <c r="IZ1187" s="74"/>
      <c r="JA1187" s="74"/>
    </row>
    <row r="1188" spans="1:261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Q1188" s="74"/>
      <c r="R1188" s="74"/>
      <c r="S1188" s="74"/>
      <c r="T1188" s="74"/>
      <c r="U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  <c r="IW1188" s="74"/>
      <c r="IX1188" s="74"/>
      <c r="IY1188" s="74"/>
      <c r="IZ1188" s="74"/>
      <c r="JA1188" s="74"/>
    </row>
    <row r="1189" spans="1:261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4"/>
      <c r="S1189" s="74"/>
      <c r="T1189" s="74"/>
      <c r="U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  <c r="IW1189" s="74"/>
      <c r="IX1189" s="74"/>
      <c r="IY1189" s="74"/>
      <c r="IZ1189" s="74"/>
      <c r="JA1189" s="74"/>
    </row>
    <row r="1190" spans="1:261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Q1190" s="74"/>
      <c r="R1190" s="74"/>
      <c r="S1190" s="74"/>
      <c r="T1190" s="74"/>
      <c r="U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  <c r="IW1190" s="74"/>
      <c r="IX1190" s="74"/>
      <c r="IY1190" s="74"/>
      <c r="IZ1190" s="74"/>
      <c r="JA1190" s="74"/>
    </row>
    <row r="1191" spans="1:261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4"/>
      <c r="S1191" s="74"/>
      <c r="T1191" s="74"/>
      <c r="U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  <c r="IW1191" s="74"/>
      <c r="IX1191" s="74"/>
      <c r="IY1191" s="74"/>
      <c r="IZ1191" s="74"/>
      <c r="JA1191" s="74"/>
    </row>
    <row r="1192" spans="1:261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Q1192" s="74"/>
      <c r="R1192" s="74"/>
      <c r="S1192" s="74"/>
      <c r="T1192" s="74"/>
      <c r="U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  <c r="IW1192" s="74"/>
      <c r="IX1192" s="74"/>
      <c r="IY1192" s="74"/>
      <c r="IZ1192" s="74"/>
      <c r="JA1192" s="74"/>
    </row>
    <row r="1193" spans="1:261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Q1193" s="74"/>
      <c r="R1193" s="74"/>
      <c r="S1193" s="74"/>
      <c r="T1193" s="74"/>
      <c r="U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  <c r="IW1193" s="74"/>
      <c r="IX1193" s="74"/>
      <c r="IY1193" s="74"/>
      <c r="IZ1193" s="74"/>
      <c r="JA1193" s="74"/>
    </row>
    <row r="1194" spans="1:261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Q1194" s="74"/>
      <c r="R1194" s="74"/>
      <c r="S1194" s="74"/>
      <c r="T1194" s="74"/>
      <c r="U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  <c r="IW1194" s="74"/>
      <c r="IX1194" s="74"/>
      <c r="IY1194" s="74"/>
      <c r="IZ1194" s="74"/>
      <c r="JA1194" s="74"/>
    </row>
    <row r="1195" spans="1:261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Q1195" s="74"/>
      <c r="R1195" s="74"/>
      <c r="S1195" s="74"/>
      <c r="T1195" s="74"/>
      <c r="U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  <c r="IW1195" s="74"/>
      <c r="IX1195" s="74"/>
      <c r="IY1195" s="74"/>
      <c r="IZ1195" s="74"/>
      <c r="JA1195" s="74"/>
    </row>
    <row r="1196" spans="1:261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4"/>
      <c r="S1196" s="74"/>
      <c r="T1196" s="74"/>
      <c r="U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  <c r="IW1196" s="74"/>
      <c r="IX1196" s="74"/>
      <c r="IY1196" s="74"/>
      <c r="IZ1196" s="74"/>
      <c r="JA1196" s="74"/>
    </row>
    <row r="1197" spans="1:261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Q1197" s="74"/>
      <c r="R1197" s="74"/>
      <c r="S1197" s="74"/>
      <c r="T1197" s="74"/>
      <c r="U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  <c r="IW1197" s="74"/>
      <c r="IX1197" s="74"/>
      <c r="IY1197" s="74"/>
      <c r="IZ1197" s="74"/>
      <c r="JA1197" s="74"/>
    </row>
    <row r="1198" spans="1:261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Q1198" s="74"/>
      <c r="R1198" s="74"/>
      <c r="S1198" s="74"/>
      <c r="T1198" s="74"/>
      <c r="U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  <c r="IW1198" s="74"/>
      <c r="IX1198" s="74"/>
      <c r="IY1198" s="74"/>
      <c r="IZ1198" s="74"/>
      <c r="JA1198" s="74"/>
    </row>
    <row r="1199" spans="1:261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Q1199" s="74"/>
      <c r="R1199" s="74"/>
      <c r="S1199" s="74"/>
      <c r="T1199" s="74"/>
      <c r="U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  <c r="IW1199" s="74"/>
      <c r="IX1199" s="74"/>
      <c r="IY1199" s="74"/>
      <c r="IZ1199" s="74"/>
      <c r="JA1199" s="74"/>
    </row>
    <row r="1200" spans="1:261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Q1200" s="74"/>
      <c r="R1200" s="74"/>
      <c r="S1200" s="74"/>
      <c r="T1200" s="74"/>
      <c r="U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  <c r="IW1200" s="74"/>
      <c r="IX1200" s="74"/>
      <c r="IY1200" s="74"/>
      <c r="IZ1200" s="74"/>
      <c r="JA1200" s="74"/>
    </row>
    <row r="1201" spans="1:261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Q1201" s="74"/>
      <c r="R1201" s="74"/>
      <c r="S1201" s="74"/>
      <c r="T1201" s="74"/>
      <c r="U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  <c r="IW1201" s="74"/>
      <c r="IX1201" s="74"/>
      <c r="IY1201" s="74"/>
      <c r="IZ1201" s="74"/>
      <c r="JA1201" s="74"/>
    </row>
    <row r="1202" spans="1:261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Q1202" s="74"/>
      <c r="R1202" s="74"/>
      <c r="S1202" s="74"/>
      <c r="T1202" s="74"/>
      <c r="U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  <c r="IW1202" s="74"/>
      <c r="IX1202" s="74"/>
      <c r="IY1202" s="74"/>
      <c r="IZ1202" s="74"/>
      <c r="JA1202" s="74"/>
    </row>
    <row r="1203" spans="1:261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Q1203" s="74"/>
      <c r="R1203" s="74"/>
      <c r="S1203" s="74"/>
      <c r="T1203" s="74"/>
      <c r="U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  <c r="IW1203" s="74"/>
      <c r="IX1203" s="74"/>
      <c r="IY1203" s="74"/>
      <c r="IZ1203" s="74"/>
      <c r="JA1203" s="74"/>
    </row>
    <row r="1204" spans="1:261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Q1204" s="74"/>
      <c r="R1204" s="74"/>
      <c r="S1204" s="74"/>
      <c r="T1204" s="74"/>
      <c r="U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  <c r="IW1204" s="74"/>
      <c r="IX1204" s="74"/>
      <c r="IY1204" s="74"/>
      <c r="IZ1204" s="74"/>
      <c r="JA1204" s="74"/>
    </row>
    <row r="1205" spans="1:261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Q1205" s="74"/>
      <c r="R1205" s="74"/>
      <c r="S1205" s="74"/>
      <c r="T1205" s="74"/>
      <c r="U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  <c r="IW1205" s="74"/>
      <c r="IX1205" s="74"/>
      <c r="IY1205" s="74"/>
      <c r="IZ1205" s="74"/>
      <c r="JA1205" s="74"/>
    </row>
    <row r="1206" spans="1:261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Q1206" s="74"/>
      <c r="R1206" s="74"/>
      <c r="S1206" s="74"/>
      <c r="T1206" s="74"/>
      <c r="U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  <c r="IW1206" s="74"/>
      <c r="IX1206" s="74"/>
      <c r="IY1206" s="74"/>
      <c r="IZ1206" s="74"/>
      <c r="JA1206" s="74"/>
    </row>
    <row r="1207" spans="1:261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Q1207" s="74"/>
      <c r="R1207" s="74"/>
      <c r="S1207" s="74"/>
      <c r="T1207" s="74"/>
      <c r="U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  <c r="IW1207" s="74"/>
      <c r="IX1207" s="74"/>
      <c r="IY1207" s="74"/>
      <c r="IZ1207" s="74"/>
      <c r="JA1207" s="74"/>
    </row>
    <row r="1208" spans="1:261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Q1208" s="74"/>
      <c r="R1208" s="74"/>
      <c r="S1208" s="74"/>
      <c r="T1208" s="74"/>
      <c r="U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  <c r="IW1208" s="74"/>
      <c r="IX1208" s="74"/>
      <c r="IY1208" s="74"/>
      <c r="IZ1208" s="74"/>
      <c r="JA1208" s="74"/>
    </row>
    <row r="1209" spans="1:261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Q1209" s="74"/>
      <c r="R1209" s="74"/>
      <c r="S1209" s="74"/>
      <c r="T1209" s="74"/>
      <c r="U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  <c r="IW1209" s="74"/>
      <c r="IX1209" s="74"/>
      <c r="IY1209" s="74"/>
      <c r="IZ1209" s="74"/>
      <c r="JA1209" s="74"/>
    </row>
    <row r="1210" spans="1:261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Q1210" s="74"/>
      <c r="R1210" s="74"/>
      <c r="S1210" s="74"/>
      <c r="T1210" s="74"/>
      <c r="U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  <c r="IW1210" s="74"/>
      <c r="IX1210" s="74"/>
      <c r="IY1210" s="74"/>
      <c r="IZ1210" s="74"/>
      <c r="JA1210" s="74"/>
    </row>
    <row r="1211" spans="1:261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Q1211" s="74"/>
      <c r="R1211" s="74"/>
      <c r="S1211" s="74"/>
      <c r="T1211" s="74"/>
      <c r="U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  <c r="IW1211" s="74"/>
      <c r="IX1211" s="74"/>
      <c r="IY1211" s="74"/>
      <c r="IZ1211" s="74"/>
      <c r="JA1211" s="74"/>
    </row>
    <row r="1212" spans="1:261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Q1212" s="74"/>
      <c r="R1212" s="74"/>
      <c r="S1212" s="74"/>
      <c r="T1212" s="74"/>
      <c r="U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  <c r="IW1212" s="74"/>
      <c r="IX1212" s="74"/>
      <c r="IY1212" s="74"/>
      <c r="IZ1212" s="74"/>
      <c r="JA1212" s="74"/>
    </row>
    <row r="1213" spans="1:261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Q1213" s="74"/>
      <c r="R1213" s="74"/>
      <c r="S1213" s="74"/>
      <c r="T1213" s="74"/>
      <c r="U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  <c r="IW1213" s="74"/>
      <c r="IX1213" s="74"/>
      <c r="IY1213" s="74"/>
      <c r="IZ1213" s="74"/>
      <c r="JA1213" s="74"/>
    </row>
    <row r="1214" spans="1:261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Q1214" s="74"/>
      <c r="R1214" s="74"/>
      <c r="S1214" s="74"/>
      <c r="T1214" s="74"/>
      <c r="U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  <c r="IW1214" s="74"/>
      <c r="IX1214" s="74"/>
      <c r="IY1214" s="74"/>
      <c r="IZ1214" s="74"/>
      <c r="JA1214" s="74"/>
    </row>
    <row r="1215" spans="1:261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Q1215" s="74"/>
      <c r="R1215" s="74"/>
      <c r="S1215" s="74"/>
      <c r="T1215" s="74"/>
      <c r="U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  <c r="IW1215" s="74"/>
      <c r="IX1215" s="74"/>
      <c r="IY1215" s="74"/>
      <c r="IZ1215" s="74"/>
      <c r="JA1215" s="74"/>
    </row>
    <row r="1216" spans="1:261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  <c r="U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  <c r="IW1216" s="74"/>
      <c r="IX1216" s="74"/>
      <c r="IY1216" s="74"/>
      <c r="IZ1216" s="74"/>
      <c r="JA1216" s="74"/>
    </row>
    <row r="1217" spans="1:261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  <c r="U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  <c r="IW1217" s="74"/>
      <c r="IX1217" s="74"/>
      <c r="IY1217" s="74"/>
      <c r="IZ1217" s="74"/>
      <c r="JA1217" s="74"/>
    </row>
    <row r="1218" spans="1:261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Q1218" s="74"/>
      <c r="R1218" s="74"/>
      <c r="S1218" s="74"/>
      <c r="T1218" s="74"/>
      <c r="U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  <c r="IW1218" s="74"/>
      <c r="IX1218" s="74"/>
      <c r="IY1218" s="74"/>
      <c r="IZ1218" s="74"/>
      <c r="JA1218" s="74"/>
    </row>
    <row r="1219" spans="1:261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Q1219" s="74"/>
      <c r="R1219" s="74"/>
      <c r="S1219" s="74"/>
      <c r="T1219" s="74"/>
      <c r="U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  <c r="IW1219" s="74"/>
      <c r="IX1219" s="74"/>
      <c r="IY1219" s="74"/>
      <c r="IZ1219" s="74"/>
      <c r="JA1219" s="74"/>
    </row>
    <row r="1220" spans="1:261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Q1220" s="74"/>
      <c r="R1220" s="74"/>
      <c r="S1220" s="74"/>
      <c r="T1220" s="74"/>
      <c r="U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  <c r="IW1220" s="74"/>
      <c r="IX1220" s="74"/>
      <c r="IY1220" s="74"/>
      <c r="IZ1220" s="74"/>
      <c r="JA1220" s="74"/>
    </row>
    <row r="1221" spans="1:261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Q1221" s="74"/>
      <c r="R1221" s="74"/>
      <c r="S1221" s="74"/>
      <c r="T1221" s="74"/>
      <c r="U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  <c r="IW1221" s="74"/>
      <c r="IX1221" s="74"/>
      <c r="IY1221" s="74"/>
      <c r="IZ1221" s="74"/>
      <c r="JA1221" s="74"/>
    </row>
    <row r="1222" spans="1:261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Q1222" s="74"/>
      <c r="R1222" s="74"/>
      <c r="S1222" s="74"/>
      <c r="T1222" s="74"/>
      <c r="U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  <c r="IW1222" s="74"/>
      <c r="IX1222" s="74"/>
      <c r="IY1222" s="74"/>
      <c r="IZ1222" s="74"/>
      <c r="JA1222" s="74"/>
    </row>
    <row r="1223" spans="1:261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Q1223" s="74"/>
      <c r="R1223" s="74"/>
      <c r="S1223" s="74"/>
      <c r="T1223" s="74"/>
      <c r="U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  <c r="IW1223" s="74"/>
      <c r="IX1223" s="74"/>
      <c r="IY1223" s="74"/>
      <c r="IZ1223" s="74"/>
      <c r="JA1223" s="74"/>
    </row>
    <row r="1224" spans="1:261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Q1224" s="74"/>
      <c r="R1224" s="74"/>
      <c r="S1224" s="74"/>
      <c r="T1224" s="74"/>
      <c r="U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  <c r="IW1224" s="74"/>
      <c r="IX1224" s="74"/>
      <c r="IY1224" s="74"/>
      <c r="IZ1224" s="74"/>
      <c r="JA1224" s="74"/>
    </row>
    <row r="1225" spans="1:261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Q1225" s="74"/>
      <c r="R1225" s="74"/>
      <c r="S1225" s="74"/>
      <c r="T1225" s="74"/>
      <c r="U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  <c r="IW1225" s="74"/>
      <c r="IX1225" s="74"/>
      <c r="IY1225" s="74"/>
      <c r="IZ1225" s="74"/>
      <c r="JA1225" s="74"/>
    </row>
    <row r="1226" spans="1:261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Q1226" s="74"/>
      <c r="R1226" s="74"/>
      <c r="S1226" s="74"/>
      <c r="T1226" s="74"/>
      <c r="U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  <c r="IW1226" s="74"/>
      <c r="IX1226" s="74"/>
      <c r="IY1226" s="74"/>
      <c r="IZ1226" s="74"/>
      <c r="JA1226" s="74"/>
    </row>
    <row r="1227" spans="1:261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Q1227" s="74"/>
      <c r="R1227" s="74"/>
      <c r="S1227" s="74"/>
      <c r="T1227" s="74"/>
      <c r="U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  <c r="IW1227" s="74"/>
      <c r="IX1227" s="74"/>
      <c r="IY1227" s="74"/>
      <c r="IZ1227" s="74"/>
      <c r="JA1227" s="74"/>
    </row>
    <row r="1228" spans="1:261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Q1228" s="74"/>
      <c r="R1228" s="74"/>
      <c r="S1228" s="74"/>
      <c r="T1228" s="74"/>
      <c r="U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  <c r="IW1228" s="74"/>
      <c r="IX1228" s="74"/>
      <c r="IY1228" s="74"/>
      <c r="IZ1228" s="74"/>
      <c r="JA1228" s="74"/>
    </row>
    <row r="1229" spans="1:261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Q1229" s="74"/>
      <c r="R1229" s="74"/>
      <c r="S1229" s="74"/>
      <c r="T1229" s="74"/>
      <c r="U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  <c r="IW1229" s="74"/>
      <c r="IX1229" s="74"/>
      <c r="IY1229" s="74"/>
      <c r="IZ1229" s="74"/>
      <c r="JA1229" s="74"/>
    </row>
    <row r="1230" spans="1:261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Q1230" s="74"/>
      <c r="R1230" s="74"/>
      <c r="S1230" s="74"/>
      <c r="T1230" s="74"/>
      <c r="U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  <c r="IW1230" s="74"/>
      <c r="IX1230" s="74"/>
      <c r="IY1230" s="74"/>
      <c r="IZ1230" s="74"/>
      <c r="JA1230" s="74"/>
    </row>
    <row r="1231" spans="1:261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Q1231" s="74"/>
      <c r="R1231" s="74"/>
      <c r="S1231" s="74"/>
      <c r="T1231" s="74"/>
      <c r="U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  <c r="IW1231" s="74"/>
      <c r="IX1231" s="74"/>
      <c r="IY1231" s="74"/>
      <c r="IZ1231" s="74"/>
      <c r="JA1231" s="74"/>
    </row>
    <row r="1232" spans="1:261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4"/>
      <c r="S1232" s="74"/>
      <c r="T1232" s="74"/>
      <c r="U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  <c r="IW1232" s="74"/>
      <c r="IX1232" s="74"/>
      <c r="IY1232" s="74"/>
      <c r="IZ1232" s="74"/>
      <c r="JA1232" s="74"/>
    </row>
    <row r="1233" spans="1:261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Q1233" s="74"/>
      <c r="R1233" s="74"/>
      <c r="S1233" s="74"/>
      <c r="T1233" s="74"/>
      <c r="U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  <c r="IW1233" s="74"/>
      <c r="IX1233" s="74"/>
      <c r="IY1233" s="74"/>
      <c r="IZ1233" s="74"/>
      <c r="JA1233" s="74"/>
    </row>
    <row r="1234" spans="1:261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4"/>
      <c r="S1234" s="74"/>
      <c r="T1234" s="74"/>
      <c r="U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  <c r="IW1234" s="74"/>
      <c r="IX1234" s="74"/>
      <c r="IY1234" s="74"/>
      <c r="IZ1234" s="74"/>
      <c r="JA1234" s="74"/>
    </row>
    <row r="1235" spans="1:261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74"/>
      <c r="R1235" s="74"/>
      <c r="S1235" s="74"/>
      <c r="T1235" s="74"/>
      <c r="U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  <c r="IW1235" s="74"/>
      <c r="IX1235" s="74"/>
      <c r="IY1235" s="74"/>
      <c r="IZ1235" s="74"/>
      <c r="JA1235" s="74"/>
    </row>
    <row r="1236" spans="1:261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Q1236" s="74"/>
      <c r="R1236" s="74"/>
      <c r="S1236" s="74"/>
      <c r="T1236" s="74"/>
      <c r="U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  <c r="IW1236" s="74"/>
      <c r="IX1236" s="74"/>
      <c r="IY1236" s="74"/>
      <c r="IZ1236" s="74"/>
      <c r="JA1236" s="74"/>
    </row>
    <row r="1237" spans="1:261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Q1237" s="74"/>
      <c r="R1237" s="74"/>
      <c r="S1237" s="74"/>
      <c r="T1237" s="74"/>
      <c r="U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  <c r="IW1237" s="74"/>
      <c r="IX1237" s="74"/>
      <c r="IY1237" s="74"/>
      <c r="IZ1237" s="74"/>
      <c r="JA1237" s="74"/>
    </row>
    <row r="1238" spans="1:261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Q1238" s="74"/>
      <c r="R1238" s="74"/>
      <c r="S1238" s="74"/>
      <c r="T1238" s="74"/>
      <c r="U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  <c r="IW1238" s="74"/>
      <c r="IX1238" s="74"/>
      <c r="IY1238" s="74"/>
      <c r="IZ1238" s="74"/>
      <c r="JA1238" s="74"/>
    </row>
    <row r="1239" spans="1:261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4"/>
      <c r="S1239" s="74"/>
      <c r="T1239" s="74"/>
      <c r="U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  <c r="IW1239" s="74"/>
      <c r="IX1239" s="74"/>
      <c r="IY1239" s="74"/>
      <c r="IZ1239" s="74"/>
      <c r="JA1239" s="74"/>
    </row>
    <row r="1240" spans="1:261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Q1240" s="74"/>
      <c r="R1240" s="74"/>
      <c r="S1240" s="74"/>
      <c r="T1240" s="74"/>
      <c r="U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  <c r="IW1240" s="74"/>
      <c r="IX1240" s="74"/>
      <c r="IY1240" s="74"/>
      <c r="IZ1240" s="74"/>
      <c r="JA1240" s="74"/>
    </row>
    <row r="1241" spans="1:261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Q1241" s="74"/>
      <c r="R1241" s="74"/>
      <c r="S1241" s="74"/>
      <c r="T1241" s="74"/>
      <c r="U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  <c r="IW1241" s="74"/>
      <c r="IX1241" s="74"/>
      <c r="IY1241" s="74"/>
      <c r="IZ1241" s="74"/>
      <c r="JA1241" s="74"/>
    </row>
    <row r="1242" spans="1:261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Q1242" s="74"/>
      <c r="R1242" s="74"/>
      <c r="S1242" s="74"/>
      <c r="T1242" s="74"/>
      <c r="U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  <c r="IW1242" s="74"/>
      <c r="IX1242" s="74"/>
      <c r="IY1242" s="74"/>
      <c r="IZ1242" s="74"/>
      <c r="JA1242" s="74"/>
    </row>
    <row r="1243" spans="1:261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Q1243" s="74"/>
      <c r="R1243" s="74"/>
      <c r="S1243" s="74"/>
      <c r="T1243" s="74"/>
      <c r="U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  <c r="IW1243" s="74"/>
      <c r="IX1243" s="74"/>
      <c r="IY1243" s="74"/>
      <c r="IZ1243" s="74"/>
      <c r="JA1243" s="74"/>
    </row>
    <row r="1244" spans="1:261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Q1244" s="74"/>
      <c r="R1244" s="74"/>
      <c r="S1244" s="74"/>
      <c r="T1244" s="74"/>
      <c r="U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  <c r="IW1244" s="74"/>
      <c r="IX1244" s="74"/>
      <c r="IY1244" s="74"/>
      <c r="IZ1244" s="74"/>
      <c r="JA1244" s="74"/>
    </row>
    <row r="1245" spans="1:261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Q1245" s="74"/>
      <c r="R1245" s="74"/>
      <c r="S1245" s="74"/>
      <c r="T1245" s="74"/>
      <c r="U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  <c r="IW1245" s="74"/>
      <c r="IX1245" s="74"/>
      <c r="IY1245" s="74"/>
      <c r="IZ1245" s="74"/>
      <c r="JA1245" s="74"/>
    </row>
    <row r="1246" spans="1:261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Q1246" s="74"/>
      <c r="R1246" s="74"/>
      <c r="S1246" s="74"/>
      <c r="T1246" s="74"/>
      <c r="U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  <c r="IW1246" s="74"/>
      <c r="IX1246" s="74"/>
      <c r="IY1246" s="74"/>
      <c r="IZ1246" s="74"/>
      <c r="JA1246" s="74"/>
    </row>
    <row r="1247" spans="1:261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Q1247" s="74"/>
      <c r="R1247" s="74"/>
      <c r="S1247" s="74"/>
      <c r="T1247" s="74"/>
      <c r="U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  <c r="IW1247" s="74"/>
      <c r="IX1247" s="74"/>
      <c r="IY1247" s="74"/>
      <c r="IZ1247" s="74"/>
      <c r="JA1247" s="74"/>
    </row>
    <row r="1248" spans="1:261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Q1248" s="74"/>
      <c r="R1248" s="74"/>
      <c r="S1248" s="74"/>
      <c r="T1248" s="74"/>
      <c r="U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  <c r="IW1248" s="74"/>
      <c r="IX1248" s="74"/>
      <c r="IY1248" s="74"/>
      <c r="IZ1248" s="74"/>
      <c r="JA1248" s="74"/>
    </row>
    <row r="1249" spans="1:261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Q1249" s="74"/>
      <c r="R1249" s="74"/>
      <c r="S1249" s="74"/>
      <c r="T1249" s="74"/>
      <c r="U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  <c r="IW1249" s="74"/>
      <c r="IX1249" s="74"/>
      <c r="IY1249" s="74"/>
      <c r="IZ1249" s="74"/>
      <c r="JA1249" s="74"/>
    </row>
    <row r="1250" spans="1:261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Q1250" s="74"/>
      <c r="R1250" s="74"/>
      <c r="S1250" s="74"/>
      <c r="T1250" s="74"/>
      <c r="U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  <c r="IW1250" s="74"/>
      <c r="IX1250" s="74"/>
      <c r="IY1250" s="74"/>
      <c r="IZ1250" s="74"/>
      <c r="JA1250" s="74"/>
    </row>
    <row r="1251" spans="1:261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Q1251" s="74"/>
      <c r="R1251" s="74"/>
      <c r="S1251" s="74"/>
      <c r="T1251" s="74"/>
      <c r="U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  <c r="IW1251" s="74"/>
      <c r="IX1251" s="74"/>
      <c r="IY1251" s="74"/>
      <c r="IZ1251" s="74"/>
      <c r="JA1251" s="74"/>
    </row>
    <row r="1252" spans="1:261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Q1252" s="74"/>
      <c r="R1252" s="74"/>
      <c r="S1252" s="74"/>
      <c r="T1252" s="74"/>
      <c r="U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  <c r="IW1252" s="74"/>
      <c r="IX1252" s="74"/>
      <c r="IY1252" s="74"/>
      <c r="IZ1252" s="74"/>
      <c r="JA1252" s="74"/>
    </row>
    <row r="1253" spans="1:261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Q1253" s="74"/>
      <c r="R1253" s="74"/>
      <c r="S1253" s="74"/>
      <c r="T1253" s="74"/>
      <c r="U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  <c r="IW1253" s="74"/>
      <c r="IX1253" s="74"/>
      <c r="IY1253" s="74"/>
      <c r="IZ1253" s="74"/>
      <c r="JA1253" s="74"/>
    </row>
    <row r="1254" spans="1:261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Q1254" s="74"/>
      <c r="R1254" s="74"/>
      <c r="S1254" s="74"/>
      <c r="T1254" s="74"/>
      <c r="U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  <c r="IW1254" s="74"/>
      <c r="IX1254" s="74"/>
      <c r="IY1254" s="74"/>
      <c r="IZ1254" s="74"/>
      <c r="JA1254" s="74"/>
    </row>
    <row r="1255" spans="1:261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Q1255" s="74"/>
      <c r="R1255" s="74"/>
      <c r="S1255" s="74"/>
      <c r="T1255" s="74"/>
      <c r="U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  <c r="IW1255" s="74"/>
      <c r="IX1255" s="74"/>
      <c r="IY1255" s="74"/>
      <c r="IZ1255" s="74"/>
      <c r="JA1255" s="74"/>
    </row>
    <row r="1256" spans="1:261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Q1256" s="74"/>
      <c r="R1256" s="74"/>
      <c r="S1256" s="74"/>
      <c r="T1256" s="74"/>
      <c r="U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  <c r="IW1256" s="74"/>
      <c r="IX1256" s="74"/>
      <c r="IY1256" s="74"/>
      <c r="IZ1256" s="74"/>
      <c r="JA1256" s="74"/>
    </row>
    <row r="1257" spans="1:261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Q1257" s="74"/>
      <c r="R1257" s="74"/>
      <c r="S1257" s="74"/>
      <c r="T1257" s="74"/>
      <c r="U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  <c r="IW1257" s="74"/>
      <c r="IX1257" s="74"/>
      <c r="IY1257" s="74"/>
      <c r="IZ1257" s="74"/>
      <c r="JA1257" s="74"/>
    </row>
    <row r="1258" spans="1:261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Q1258" s="74"/>
      <c r="R1258" s="74"/>
      <c r="S1258" s="74"/>
      <c r="T1258" s="74"/>
      <c r="U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  <c r="IW1258" s="74"/>
      <c r="IX1258" s="74"/>
      <c r="IY1258" s="74"/>
      <c r="IZ1258" s="74"/>
      <c r="JA1258" s="74"/>
    </row>
    <row r="1259" spans="1:261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Q1259" s="74"/>
      <c r="R1259" s="74"/>
      <c r="S1259" s="74"/>
      <c r="T1259" s="74"/>
      <c r="U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  <c r="IW1259" s="74"/>
      <c r="IX1259" s="74"/>
      <c r="IY1259" s="74"/>
      <c r="IZ1259" s="74"/>
      <c r="JA1259" s="74"/>
    </row>
    <row r="1260" spans="1:261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Q1260" s="74"/>
      <c r="R1260" s="74"/>
      <c r="S1260" s="74"/>
      <c r="T1260" s="74"/>
      <c r="U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  <c r="IW1260" s="74"/>
      <c r="IX1260" s="74"/>
      <c r="IY1260" s="74"/>
      <c r="IZ1260" s="74"/>
      <c r="JA1260" s="74"/>
    </row>
    <row r="1261" spans="1:261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  <c r="U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  <c r="IW1261" s="74"/>
      <c r="IX1261" s="74"/>
      <c r="IY1261" s="74"/>
      <c r="IZ1261" s="74"/>
      <c r="JA1261" s="74"/>
    </row>
    <row r="1262" spans="1:261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  <c r="U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  <c r="IW1262" s="74"/>
      <c r="IX1262" s="74"/>
      <c r="IY1262" s="74"/>
      <c r="IZ1262" s="74"/>
      <c r="JA1262" s="74"/>
    </row>
    <row r="1263" spans="1:261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Q1263" s="74"/>
      <c r="R1263" s="74"/>
      <c r="S1263" s="74"/>
      <c r="T1263" s="74"/>
      <c r="U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  <c r="IW1263" s="74"/>
      <c r="IX1263" s="74"/>
      <c r="IY1263" s="74"/>
      <c r="IZ1263" s="74"/>
      <c r="JA1263" s="74"/>
    </row>
    <row r="1264" spans="1:261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Q1264" s="74"/>
      <c r="R1264" s="74"/>
      <c r="S1264" s="74"/>
      <c r="T1264" s="74"/>
      <c r="U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  <c r="IW1264" s="74"/>
      <c r="IX1264" s="74"/>
      <c r="IY1264" s="74"/>
      <c r="IZ1264" s="74"/>
      <c r="JA1264" s="74"/>
    </row>
    <row r="1265" spans="1:261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Q1265" s="74"/>
      <c r="R1265" s="74"/>
      <c r="S1265" s="74"/>
      <c r="T1265" s="74"/>
      <c r="U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  <c r="IW1265" s="74"/>
      <c r="IX1265" s="74"/>
      <c r="IY1265" s="74"/>
      <c r="IZ1265" s="74"/>
      <c r="JA1265" s="74"/>
    </row>
    <row r="1266" spans="1:261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Q1266" s="74"/>
      <c r="R1266" s="74"/>
      <c r="S1266" s="74"/>
      <c r="T1266" s="74"/>
      <c r="U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  <c r="IW1266" s="74"/>
      <c r="IX1266" s="74"/>
      <c r="IY1266" s="74"/>
      <c r="IZ1266" s="74"/>
      <c r="JA1266" s="74"/>
    </row>
    <row r="1267" spans="1:261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Q1267" s="74"/>
      <c r="R1267" s="74"/>
      <c r="S1267" s="74"/>
      <c r="T1267" s="74"/>
      <c r="U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  <c r="IW1267" s="74"/>
      <c r="IX1267" s="74"/>
      <c r="IY1267" s="74"/>
      <c r="IZ1267" s="74"/>
      <c r="JA1267" s="74"/>
    </row>
    <row r="1268" spans="1:261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Q1268" s="74"/>
      <c r="R1268" s="74"/>
      <c r="S1268" s="74"/>
      <c r="T1268" s="74"/>
      <c r="U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  <c r="IW1268" s="74"/>
      <c r="IX1268" s="74"/>
      <c r="IY1268" s="74"/>
      <c r="IZ1268" s="74"/>
      <c r="JA1268" s="74"/>
    </row>
    <row r="1269" spans="1:261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Q1269" s="74"/>
      <c r="R1269" s="74"/>
      <c r="S1269" s="74"/>
      <c r="T1269" s="74"/>
      <c r="U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  <c r="IW1269" s="74"/>
      <c r="IX1269" s="74"/>
      <c r="IY1269" s="74"/>
      <c r="IZ1269" s="74"/>
      <c r="JA1269" s="74"/>
    </row>
    <row r="1270" spans="1:261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Q1270" s="74"/>
      <c r="R1270" s="74"/>
      <c r="S1270" s="74"/>
      <c r="T1270" s="74"/>
      <c r="U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  <c r="IW1270" s="74"/>
      <c r="IX1270" s="74"/>
      <c r="IY1270" s="74"/>
      <c r="IZ1270" s="74"/>
      <c r="JA1270" s="74"/>
    </row>
    <row r="1271" spans="1:261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Q1271" s="74"/>
      <c r="R1271" s="74"/>
      <c r="S1271" s="74"/>
      <c r="T1271" s="74"/>
      <c r="U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  <c r="IW1271" s="74"/>
      <c r="IX1271" s="74"/>
      <c r="IY1271" s="74"/>
      <c r="IZ1271" s="74"/>
      <c r="JA1271" s="74"/>
    </row>
    <row r="1272" spans="1:261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Q1272" s="74"/>
      <c r="R1272" s="74"/>
      <c r="S1272" s="74"/>
      <c r="T1272" s="74"/>
      <c r="U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  <c r="IW1272" s="74"/>
      <c r="IX1272" s="74"/>
      <c r="IY1272" s="74"/>
      <c r="IZ1272" s="74"/>
      <c r="JA1272" s="74"/>
    </row>
    <row r="1273" spans="1:261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Q1273" s="74"/>
      <c r="R1273" s="74"/>
      <c r="S1273" s="74"/>
      <c r="T1273" s="74"/>
      <c r="U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  <c r="IW1273" s="74"/>
      <c r="IX1273" s="74"/>
      <c r="IY1273" s="74"/>
      <c r="IZ1273" s="74"/>
      <c r="JA1273" s="74"/>
    </row>
    <row r="1274" spans="1:261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74"/>
      <c r="R1274" s="74"/>
      <c r="S1274" s="74"/>
      <c r="T1274" s="74"/>
      <c r="U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  <c r="IW1274" s="74"/>
      <c r="IX1274" s="74"/>
      <c r="IY1274" s="74"/>
      <c r="IZ1274" s="74"/>
      <c r="JA1274" s="74"/>
    </row>
    <row r="1275" spans="1:261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Q1275" s="74"/>
      <c r="R1275" s="74"/>
      <c r="S1275" s="74"/>
      <c r="T1275" s="74"/>
      <c r="U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  <c r="IW1275" s="74"/>
      <c r="IX1275" s="74"/>
      <c r="IY1275" s="74"/>
      <c r="IZ1275" s="74"/>
      <c r="JA1275" s="74"/>
    </row>
    <row r="1276" spans="1:261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Q1276" s="74"/>
      <c r="R1276" s="74"/>
      <c r="S1276" s="74"/>
      <c r="T1276" s="74"/>
      <c r="U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  <c r="IW1276" s="74"/>
      <c r="IX1276" s="74"/>
      <c r="IY1276" s="74"/>
      <c r="IZ1276" s="74"/>
      <c r="JA1276" s="74"/>
    </row>
    <row r="1277" spans="1:261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74"/>
      <c r="R1277" s="74"/>
      <c r="S1277" s="74"/>
      <c r="T1277" s="74"/>
      <c r="U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  <c r="IW1277" s="74"/>
      <c r="IX1277" s="74"/>
      <c r="IY1277" s="74"/>
      <c r="IZ1277" s="74"/>
      <c r="JA1277" s="74"/>
    </row>
    <row r="1278" spans="1:261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Q1278" s="74"/>
      <c r="R1278" s="74"/>
      <c r="S1278" s="74"/>
      <c r="T1278" s="74"/>
      <c r="U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  <c r="IW1278" s="74"/>
      <c r="IX1278" s="74"/>
      <c r="IY1278" s="74"/>
      <c r="IZ1278" s="74"/>
      <c r="JA1278" s="74"/>
    </row>
    <row r="1279" spans="1:261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Q1279" s="74"/>
      <c r="R1279" s="74"/>
      <c r="S1279" s="74"/>
      <c r="T1279" s="74"/>
      <c r="U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  <c r="IW1279" s="74"/>
      <c r="IX1279" s="74"/>
      <c r="IY1279" s="74"/>
      <c r="IZ1279" s="74"/>
      <c r="JA1279" s="74"/>
    </row>
    <row r="1280" spans="1:261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Q1280" s="74"/>
      <c r="R1280" s="74"/>
      <c r="S1280" s="74"/>
      <c r="T1280" s="74"/>
      <c r="U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  <c r="IW1280" s="74"/>
      <c r="IX1280" s="74"/>
      <c r="IY1280" s="74"/>
      <c r="IZ1280" s="74"/>
      <c r="JA1280" s="74"/>
    </row>
    <row r="1281" spans="1:261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Q1281" s="74"/>
      <c r="R1281" s="74"/>
      <c r="S1281" s="74"/>
      <c r="T1281" s="74"/>
      <c r="U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  <c r="IW1281" s="74"/>
      <c r="IX1281" s="74"/>
      <c r="IY1281" s="74"/>
      <c r="IZ1281" s="74"/>
      <c r="JA1281" s="74"/>
    </row>
    <row r="1282" spans="1:261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74"/>
      <c r="R1282" s="74"/>
      <c r="S1282" s="74"/>
      <c r="T1282" s="74"/>
      <c r="U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  <c r="IW1282" s="74"/>
      <c r="IX1282" s="74"/>
      <c r="IY1282" s="74"/>
      <c r="IZ1282" s="74"/>
      <c r="JA1282" s="74"/>
    </row>
    <row r="1283" spans="1:261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Q1283" s="74"/>
      <c r="R1283" s="74"/>
      <c r="S1283" s="74"/>
      <c r="T1283" s="74"/>
      <c r="U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  <c r="IW1283" s="74"/>
      <c r="IX1283" s="74"/>
      <c r="IY1283" s="74"/>
      <c r="IZ1283" s="74"/>
      <c r="JA1283" s="74"/>
    </row>
    <row r="1284" spans="1:261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Q1284" s="74"/>
      <c r="R1284" s="74"/>
      <c r="S1284" s="74"/>
      <c r="T1284" s="74"/>
      <c r="U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  <c r="IW1284" s="74"/>
      <c r="IX1284" s="74"/>
      <c r="IY1284" s="74"/>
      <c r="IZ1284" s="74"/>
      <c r="JA1284" s="74"/>
    </row>
    <row r="1285" spans="1:261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Q1285" s="74"/>
      <c r="R1285" s="74"/>
      <c r="S1285" s="74"/>
      <c r="T1285" s="74"/>
      <c r="U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  <c r="IW1285" s="74"/>
      <c r="IX1285" s="74"/>
      <c r="IY1285" s="74"/>
      <c r="IZ1285" s="74"/>
      <c r="JA1285" s="74"/>
    </row>
    <row r="1286" spans="1:261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Q1286" s="74"/>
      <c r="R1286" s="74"/>
      <c r="S1286" s="74"/>
      <c r="T1286" s="74"/>
      <c r="U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  <c r="IW1286" s="74"/>
      <c r="IX1286" s="74"/>
      <c r="IY1286" s="74"/>
      <c r="IZ1286" s="74"/>
      <c r="JA1286" s="74"/>
    </row>
    <row r="1287" spans="1:261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Q1287" s="74"/>
      <c r="R1287" s="74"/>
      <c r="S1287" s="74"/>
      <c r="T1287" s="74"/>
      <c r="U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  <c r="IW1287" s="74"/>
      <c r="IX1287" s="74"/>
      <c r="IY1287" s="74"/>
      <c r="IZ1287" s="74"/>
      <c r="JA1287" s="74"/>
    </row>
    <row r="1288" spans="1:261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Q1288" s="74"/>
      <c r="R1288" s="74"/>
      <c r="S1288" s="74"/>
      <c r="T1288" s="74"/>
      <c r="U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  <c r="IW1288" s="74"/>
      <c r="IX1288" s="74"/>
      <c r="IY1288" s="74"/>
      <c r="IZ1288" s="74"/>
      <c r="JA1288" s="74"/>
    </row>
    <row r="1289" spans="1:261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Q1289" s="74"/>
      <c r="R1289" s="74"/>
      <c r="S1289" s="74"/>
      <c r="T1289" s="74"/>
      <c r="U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  <c r="IW1289" s="74"/>
      <c r="IX1289" s="74"/>
      <c r="IY1289" s="74"/>
      <c r="IZ1289" s="74"/>
      <c r="JA1289" s="74"/>
    </row>
    <row r="1290" spans="1:261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Q1290" s="74"/>
      <c r="R1290" s="74"/>
      <c r="S1290" s="74"/>
      <c r="T1290" s="74"/>
      <c r="U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  <c r="IW1290" s="74"/>
      <c r="IX1290" s="74"/>
      <c r="IY1290" s="74"/>
      <c r="IZ1290" s="74"/>
      <c r="JA1290" s="74"/>
    </row>
    <row r="1291" spans="1:261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Q1291" s="74"/>
      <c r="R1291" s="74"/>
      <c r="S1291" s="74"/>
      <c r="T1291" s="74"/>
      <c r="U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  <c r="IW1291" s="74"/>
      <c r="IX1291" s="74"/>
      <c r="IY1291" s="74"/>
      <c r="IZ1291" s="74"/>
      <c r="JA1291" s="74"/>
    </row>
    <row r="1292" spans="1:261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Q1292" s="74"/>
      <c r="R1292" s="74"/>
      <c r="S1292" s="74"/>
      <c r="T1292" s="74"/>
      <c r="U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  <c r="IW1292" s="74"/>
      <c r="IX1292" s="74"/>
      <c r="IY1292" s="74"/>
      <c r="IZ1292" s="74"/>
      <c r="JA1292" s="74"/>
    </row>
    <row r="1293" spans="1:261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Q1293" s="74"/>
      <c r="R1293" s="74"/>
      <c r="S1293" s="74"/>
      <c r="T1293" s="74"/>
      <c r="U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  <c r="IW1293" s="74"/>
      <c r="IX1293" s="74"/>
      <c r="IY1293" s="74"/>
      <c r="IZ1293" s="74"/>
      <c r="JA1293" s="74"/>
    </row>
    <row r="1294" spans="1:261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Q1294" s="74"/>
      <c r="R1294" s="74"/>
      <c r="S1294" s="74"/>
      <c r="T1294" s="74"/>
      <c r="U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  <c r="IW1294" s="74"/>
      <c r="IX1294" s="74"/>
      <c r="IY1294" s="74"/>
      <c r="IZ1294" s="74"/>
      <c r="JA1294" s="74"/>
    </row>
    <row r="1295" spans="1:261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Q1295" s="74"/>
      <c r="R1295" s="74"/>
      <c r="S1295" s="74"/>
      <c r="T1295" s="74"/>
      <c r="U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  <c r="IW1295" s="74"/>
      <c r="IX1295" s="74"/>
      <c r="IY1295" s="74"/>
      <c r="IZ1295" s="74"/>
      <c r="JA1295" s="74"/>
    </row>
    <row r="1296" spans="1:261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Q1296" s="74"/>
      <c r="R1296" s="74"/>
      <c r="S1296" s="74"/>
      <c r="T1296" s="74"/>
      <c r="U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  <c r="IW1296" s="74"/>
      <c r="IX1296" s="74"/>
      <c r="IY1296" s="74"/>
      <c r="IZ1296" s="74"/>
      <c r="JA1296" s="74"/>
    </row>
    <row r="1297" spans="1:261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Q1297" s="74"/>
      <c r="R1297" s="74"/>
      <c r="S1297" s="74"/>
      <c r="T1297" s="74"/>
      <c r="U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  <c r="IW1297" s="74"/>
      <c r="IX1297" s="74"/>
      <c r="IY1297" s="74"/>
      <c r="IZ1297" s="74"/>
      <c r="JA1297" s="74"/>
    </row>
    <row r="1298" spans="1:261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Q1298" s="74"/>
      <c r="R1298" s="74"/>
      <c r="S1298" s="74"/>
      <c r="T1298" s="74"/>
      <c r="U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  <c r="IW1298" s="74"/>
      <c r="IX1298" s="74"/>
      <c r="IY1298" s="74"/>
      <c r="IZ1298" s="74"/>
      <c r="JA1298" s="74"/>
    </row>
    <row r="1299" spans="1:261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Q1299" s="74"/>
      <c r="R1299" s="74"/>
      <c r="S1299" s="74"/>
      <c r="T1299" s="74"/>
      <c r="U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  <c r="IW1299" s="74"/>
      <c r="IX1299" s="74"/>
      <c r="IY1299" s="74"/>
      <c r="IZ1299" s="74"/>
      <c r="JA1299" s="74"/>
    </row>
    <row r="1300" spans="1:261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Q1300" s="74"/>
      <c r="R1300" s="74"/>
      <c r="S1300" s="74"/>
      <c r="T1300" s="74"/>
      <c r="U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  <c r="IW1300" s="74"/>
      <c r="IX1300" s="74"/>
      <c r="IY1300" s="74"/>
      <c r="IZ1300" s="74"/>
      <c r="JA1300" s="74"/>
    </row>
    <row r="1301" spans="1:261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Q1301" s="74"/>
      <c r="R1301" s="74"/>
      <c r="S1301" s="74"/>
      <c r="T1301" s="74"/>
      <c r="U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  <c r="IW1301" s="74"/>
      <c r="IX1301" s="74"/>
      <c r="IY1301" s="74"/>
      <c r="IZ1301" s="74"/>
      <c r="JA1301" s="74"/>
    </row>
    <row r="1302" spans="1:261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Q1302" s="74"/>
      <c r="R1302" s="74"/>
      <c r="S1302" s="74"/>
      <c r="T1302" s="74"/>
      <c r="U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  <c r="IW1302" s="74"/>
      <c r="IX1302" s="74"/>
      <c r="IY1302" s="74"/>
      <c r="IZ1302" s="74"/>
      <c r="JA1302" s="74"/>
    </row>
    <row r="1303" spans="1:261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Q1303" s="74"/>
      <c r="R1303" s="74"/>
      <c r="S1303" s="74"/>
      <c r="T1303" s="74"/>
      <c r="U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  <c r="IW1303" s="74"/>
      <c r="IX1303" s="74"/>
      <c r="IY1303" s="74"/>
      <c r="IZ1303" s="74"/>
      <c r="JA1303" s="74"/>
    </row>
    <row r="1304" spans="1:261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Q1304" s="74"/>
      <c r="R1304" s="74"/>
      <c r="S1304" s="74"/>
      <c r="T1304" s="74"/>
      <c r="U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  <c r="IW1304" s="74"/>
      <c r="IX1304" s="74"/>
      <c r="IY1304" s="74"/>
      <c r="IZ1304" s="74"/>
      <c r="JA1304" s="74"/>
    </row>
    <row r="1305" spans="1:261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Q1305" s="74"/>
      <c r="R1305" s="74"/>
      <c r="S1305" s="74"/>
      <c r="T1305" s="74"/>
      <c r="U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  <c r="IW1305" s="74"/>
      <c r="IX1305" s="74"/>
      <c r="IY1305" s="74"/>
      <c r="IZ1305" s="74"/>
      <c r="JA1305" s="74"/>
    </row>
    <row r="1306" spans="1:261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  <c r="U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  <c r="IW1306" s="74"/>
      <c r="IX1306" s="74"/>
      <c r="IY1306" s="74"/>
      <c r="IZ1306" s="74"/>
      <c r="JA1306" s="74"/>
    </row>
    <row r="1307" spans="1:261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  <c r="U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  <c r="IW1307" s="74"/>
      <c r="IX1307" s="74"/>
      <c r="IY1307" s="74"/>
      <c r="IZ1307" s="74"/>
      <c r="JA1307" s="74"/>
    </row>
    <row r="1308" spans="1:261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Q1308" s="74"/>
      <c r="R1308" s="74"/>
      <c r="S1308" s="74"/>
      <c r="T1308" s="74"/>
      <c r="U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  <c r="IW1308" s="74"/>
      <c r="IX1308" s="74"/>
      <c r="IY1308" s="74"/>
      <c r="IZ1308" s="74"/>
      <c r="JA1308" s="74"/>
    </row>
    <row r="1309" spans="1:261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Q1309" s="74"/>
      <c r="R1309" s="74"/>
      <c r="S1309" s="74"/>
      <c r="T1309" s="74"/>
      <c r="U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  <c r="IW1309" s="74"/>
      <c r="IX1309" s="74"/>
      <c r="IY1309" s="74"/>
      <c r="IZ1309" s="74"/>
      <c r="JA1309" s="74"/>
    </row>
    <row r="1310" spans="1:261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Q1310" s="74"/>
      <c r="R1310" s="74"/>
      <c r="S1310" s="74"/>
      <c r="T1310" s="74"/>
      <c r="U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  <c r="IW1310" s="74"/>
      <c r="IX1310" s="74"/>
      <c r="IY1310" s="74"/>
      <c r="IZ1310" s="74"/>
      <c r="JA1310" s="74"/>
    </row>
    <row r="1311" spans="1:261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Q1311" s="74"/>
      <c r="R1311" s="74"/>
      <c r="S1311" s="74"/>
      <c r="T1311" s="74"/>
      <c r="U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  <c r="IW1311" s="74"/>
      <c r="IX1311" s="74"/>
      <c r="IY1311" s="74"/>
      <c r="IZ1311" s="74"/>
      <c r="JA1311" s="74"/>
    </row>
    <row r="1312" spans="1:261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Q1312" s="74"/>
      <c r="R1312" s="74"/>
      <c r="S1312" s="74"/>
      <c r="T1312" s="74"/>
      <c r="U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  <c r="IW1312" s="74"/>
      <c r="IX1312" s="74"/>
      <c r="IY1312" s="74"/>
      <c r="IZ1312" s="74"/>
      <c r="JA1312" s="74"/>
    </row>
    <row r="1313" spans="1:261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Q1313" s="74"/>
      <c r="R1313" s="74"/>
      <c r="S1313" s="74"/>
      <c r="T1313" s="74"/>
      <c r="U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  <c r="IW1313" s="74"/>
      <c r="IX1313" s="74"/>
      <c r="IY1313" s="74"/>
      <c r="IZ1313" s="74"/>
      <c r="JA1313" s="74"/>
    </row>
    <row r="1314" spans="1:261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Q1314" s="74"/>
      <c r="R1314" s="74"/>
      <c r="S1314" s="74"/>
      <c r="T1314" s="74"/>
      <c r="U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  <c r="IW1314" s="74"/>
      <c r="IX1314" s="74"/>
      <c r="IY1314" s="74"/>
      <c r="IZ1314" s="74"/>
      <c r="JA1314" s="74"/>
    </row>
    <row r="1315" spans="1:261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Q1315" s="74"/>
      <c r="R1315" s="74"/>
      <c r="S1315" s="74"/>
      <c r="T1315" s="74"/>
      <c r="U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  <c r="IW1315" s="74"/>
      <c r="IX1315" s="74"/>
      <c r="IY1315" s="74"/>
      <c r="IZ1315" s="74"/>
      <c r="JA1315" s="74"/>
    </row>
    <row r="1316" spans="1:261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Q1316" s="74"/>
      <c r="R1316" s="74"/>
      <c r="S1316" s="74"/>
      <c r="T1316" s="74"/>
      <c r="U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  <c r="IW1316" s="74"/>
      <c r="IX1316" s="74"/>
      <c r="IY1316" s="74"/>
      <c r="IZ1316" s="74"/>
      <c r="JA1316" s="74"/>
    </row>
    <row r="1317" spans="1:261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Q1317" s="74"/>
      <c r="R1317" s="74"/>
      <c r="S1317" s="74"/>
      <c r="T1317" s="74"/>
      <c r="U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  <c r="IW1317" s="74"/>
      <c r="IX1317" s="74"/>
      <c r="IY1317" s="74"/>
      <c r="IZ1317" s="74"/>
      <c r="JA1317" s="74"/>
    </row>
    <row r="1318" spans="1:261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Q1318" s="74"/>
      <c r="R1318" s="74"/>
      <c r="S1318" s="74"/>
      <c r="T1318" s="74"/>
      <c r="U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  <c r="IW1318" s="74"/>
      <c r="IX1318" s="74"/>
      <c r="IY1318" s="74"/>
      <c r="IZ1318" s="74"/>
      <c r="JA1318" s="74"/>
    </row>
    <row r="1319" spans="1:261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Q1319" s="74"/>
      <c r="R1319" s="74"/>
      <c r="S1319" s="74"/>
      <c r="T1319" s="74"/>
      <c r="U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  <c r="IW1319" s="74"/>
      <c r="IX1319" s="74"/>
      <c r="IY1319" s="74"/>
      <c r="IZ1319" s="74"/>
      <c r="JA1319" s="74"/>
    </row>
    <row r="1320" spans="1:261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Q1320" s="74"/>
      <c r="R1320" s="74"/>
      <c r="S1320" s="74"/>
      <c r="T1320" s="74"/>
      <c r="U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  <c r="IW1320" s="74"/>
      <c r="IX1320" s="74"/>
      <c r="IY1320" s="74"/>
      <c r="IZ1320" s="74"/>
      <c r="JA1320" s="74"/>
    </row>
    <row r="1321" spans="1:261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Q1321" s="74"/>
      <c r="R1321" s="74"/>
      <c r="S1321" s="74"/>
      <c r="T1321" s="74"/>
      <c r="U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  <c r="IW1321" s="74"/>
      <c r="IX1321" s="74"/>
      <c r="IY1321" s="74"/>
      <c r="IZ1321" s="74"/>
      <c r="JA1321" s="74"/>
    </row>
    <row r="1322" spans="1:261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Q1322" s="74"/>
      <c r="R1322" s="74"/>
      <c r="S1322" s="74"/>
      <c r="T1322" s="74"/>
      <c r="U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  <c r="IW1322" s="74"/>
      <c r="IX1322" s="74"/>
      <c r="IY1322" s="74"/>
      <c r="IZ1322" s="74"/>
      <c r="JA1322" s="74"/>
    </row>
    <row r="1323" spans="1:261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Q1323" s="74"/>
      <c r="R1323" s="74"/>
      <c r="S1323" s="74"/>
      <c r="T1323" s="74"/>
      <c r="U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  <c r="IW1323" s="74"/>
      <c r="IX1323" s="74"/>
      <c r="IY1323" s="74"/>
      <c r="IZ1323" s="74"/>
      <c r="JA1323" s="74"/>
    </row>
    <row r="1324" spans="1:261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Q1324" s="74"/>
      <c r="R1324" s="74"/>
      <c r="S1324" s="74"/>
      <c r="T1324" s="74"/>
      <c r="U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  <c r="IW1324" s="74"/>
      <c r="IX1324" s="74"/>
      <c r="IY1324" s="74"/>
      <c r="IZ1324" s="74"/>
      <c r="JA1324" s="74"/>
    </row>
    <row r="1325" spans="1:261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Q1325" s="74"/>
      <c r="R1325" s="74"/>
      <c r="S1325" s="74"/>
      <c r="T1325" s="74"/>
      <c r="U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  <c r="IW1325" s="74"/>
      <c r="IX1325" s="74"/>
      <c r="IY1325" s="74"/>
      <c r="IZ1325" s="74"/>
      <c r="JA1325" s="74"/>
    </row>
    <row r="1326" spans="1:261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Q1326" s="74"/>
      <c r="R1326" s="74"/>
      <c r="S1326" s="74"/>
      <c r="T1326" s="74"/>
      <c r="U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  <c r="IW1326" s="74"/>
      <c r="IX1326" s="74"/>
      <c r="IY1326" s="74"/>
      <c r="IZ1326" s="74"/>
      <c r="JA1326" s="74"/>
    </row>
    <row r="1327" spans="1:261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Q1327" s="74"/>
      <c r="R1327" s="74"/>
      <c r="S1327" s="74"/>
      <c r="T1327" s="74"/>
      <c r="U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  <c r="IW1327" s="74"/>
      <c r="IX1327" s="74"/>
      <c r="IY1327" s="74"/>
      <c r="IZ1327" s="74"/>
      <c r="JA1327" s="74"/>
    </row>
    <row r="1328" spans="1:261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Q1328" s="74"/>
      <c r="R1328" s="74"/>
      <c r="S1328" s="74"/>
      <c r="T1328" s="74"/>
      <c r="U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  <c r="IW1328" s="74"/>
      <c r="IX1328" s="74"/>
      <c r="IY1328" s="74"/>
      <c r="IZ1328" s="74"/>
      <c r="JA1328" s="74"/>
    </row>
    <row r="1329" spans="1:261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Q1329" s="74"/>
      <c r="R1329" s="74"/>
      <c r="S1329" s="74"/>
      <c r="T1329" s="74"/>
      <c r="U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  <c r="IW1329" s="74"/>
      <c r="IX1329" s="74"/>
      <c r="IY1329" s="74"/>
      <c r="IZ1329" s="74"/>
      <c r="JA1329" s="74"/>
    </row>
    <row r="1330" spans="1:261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Q1330" s="74"/>
      <c r="R1330" s="74"/>
      <c r="S1330" s="74"/>
      <c r="T1330" s="74"/>
      <c r="U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  <c r="IW1330" s="74"/>
      <c r="IX1330" s="74"/>
      <c r="IY1330" s="74"/>
      <c r="IZ1330" s="74"/>
      <c r="JA1330" s="74"/>
    </row>
    <row r="1331" spans="1:261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Q1331" s="74"/>
      <c r="R1331" s="74"/>
      <c r="S1331" s="74"/>
      <c r="T1331" s="74"/>
      <c r="U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  <c r="IW1331" s="74"/>
      <c r="IX1331" s="74"/>
      <c r="IY1331" s="74"/>
      <c r="IZ1331" s="74"/>
      <c r="JA1331" s="74"/>
    </row>
    <row r="1332" spans="1:261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Q1332" s="74"/>
      <c r="R1332" s="74"/>
      <c r="S1332" s="74"/>
      <c r="T1332" s="74"/>
      <c r="U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  <c r="IW1332" s="74"/>
      <c r="IX1332" s="74"/>
      <c r="IY1332" s="74"/>
      <c r="IZ1332" s="74"/>
      <c r="JA1332" s="74"/>
    </row>
    <row r="1333" spans="1:261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Q1333" s="74"/>
      <c r="R1333" s="74"/>
      <c r="S1333" s="74"/>
      <c r="T1333" s="74"/>
      <c r="U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  <c r="IW1333" s="74"/>
      <c r="IX1333" s="74"/>
      <c r="IY1333" s="74"/>
      <c r="IZ1333" s="74"/>
      <c r="JA1333" s="74"/>
    </row>
    <row r="1334" spans="1:261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Q1334" s="74"/>
      <c r="R1334" s="74"/>
      <c r="S1334" s="74"/>
      <c r="T1334" s="74"/>
      <c r="U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  <c r="IW1334" s="74"/>
      <c r="IX1334" s="74"/>
      <c r="IY1334" s="74"/>
      <c r="IZ1334" s="74"/>
      <c r="JA1334" s="74"/>
    </row>
    <row r="1335" spans="1:261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Q1335" s="74"/>
      <c r="R1335" s="74"/>
      <c r="S1335" s="74"/>
      <c r="T1335" s="74"/>
      <c r="U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  <c r="IW1335" s="74"/>
      <c r="IX1335" s="74"/>
      <c r="IY1335" s="74"/>
      <c r="IZ1335" s="74"/>
      <c r="JA1335" s="74"/>
    </row>
    <row r="1336" spans="1:261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Q1336" s="74"/>
      <c r="R1336" s="74"/>
      <c r="S1336" s="74"/>
      <c r="T1336" s="74"/>
      <c r="U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  <c r="IW1336" s="74"/>
      <c r="IX1336" s="74"/>
      <c r="IY1336" s="74"/>
      <c r="IZ1336" s="74"/>
      <c r="JA1336" s="74"/>
    </row>
    <row r="1337" spans="1:261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Q1337" s="74"/>
      <c r="R1337" s="74"/>
      <c r="S1337" s="74"/>
      <c r="T1337" s="74"/>
      <c r="U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  <c r="IW1337" s="74"/>
      <c r="IX1337" s="74"/>
      <c r="IY1337" s="74"/>
      <c r="IZ1337" s="74"/>
      <c r="JA1337" s="74"/>
    </row>
    <row r="1338" spans="1:261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Q1338" s="74"/>
      <c r="R1338" s="74"/>
      <c r="S1338" s="74"/>
      <c r="T1338" s="74"/>
      <c r="U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  <c r="IW1338" s="74"/>
      <c r="IX1338" s="74"/>
      <c r="IY1338" s="74"/>
      <c r="IZ1338" s="74"/>
      <c r="JA1338" s="74"/>
    </row>
    <row r="1339" spans="1:261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Q1339" s="74"/>
      <c r="R1339" s="74"/>
      <c r="S1339" s="74"/>
      <c r="T1339" s="74"/>
      <c r="U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  <c r="IW1339" s="74"/>
      <c r="IX1339" s="74"/>
      <c r="IY1339" s="74"/>
      <c r="IZ1339" s="74"/>
      <c r="JA1339" s="74"/>
    </row>
    <row r="1340" spans="1:261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Q1340" s="74"/>
      <c r="R1340" s="74"/>
      <c r="S1340" s="74"/>
      <c r="T1340" s="74"/>
      <c r="U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  <c r="IW1340" s="74"/>
      <c r="IX1340" s="74"/>
      <c r="IY1340" s="74"/>
      <c r="IZ1340" s="74"/>
      <c r="JA1340" s="74"/>
    </row>
    <row r="1341" spans="1:261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Q1341" s="74"/>
      <c r="R1341" s="74"/>
      <c r="S1341" s="74"/>
      <c r="T1341" s="74"/>
      <c r="U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  <c r="IW1341" s="74"/>
      <c r="IX1341" s="74"/>
      <c r="IY1341" s="74"/>
      <c r="IZ1341" s="74"/>
      <c r="JA1341" s="74"/>
    </row>
    <row r="1342" spans="1:261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Q1342" s="74"/>
      <c r="R1342" s="74"/>
      <c r="S1342" s="74"/>
      <c r="T1342" s="74"/>
      <c r="U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  <c r="IW1342" s="74"/>
      <c r="IX1342" s="74"/>
      <c r="IY1342" s="74"/>
      <c r="IZ1342" s="74"/>
      <c r="JA1342" s="74"/>
    </row>
    <row r="1343" spans="1:261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Q1343" s="74"/>
      <c r="R1343" s="74"/>
      <c r="S1343" s="74"/>
      <c r="T1343" s="74"/>
      <c r="U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  <c r="IW1343" s="74"/>
      <c r="IX1343" s="74"/>
      <c r="IY1343" s="74"/>
      <c r="IZ1343" s="74"/>
      <c r="JA1343" s="74"/>
    </row>
    <row r="1344" spans="1:261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Q1344" s="74"/>
      <c r="R1344" s="74"/>
      <c r="S1344" s="74"/>
      <c r="T1344" s="74"/>
      <c r="U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  <c r="IW1344" s="74"/>
      <c r="IX1344" s="74"/>
      <c r="IY1344" s="74"/>
      <c r="IZ1344" s="74"/>
      <c r="JA1344" s="74"/>
    </row>
    <row r="1345" spans="1:261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Q1345" s="74"/>
      <c r="R1345" s="74"/>
      <c r="S1345" s="74"/>
      <c r="T1345" s="74"/>
      <c r="U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  <c r="IW1345" s="74"/>
      <c r="IX1345" s="74"/>
      <c r="IY1345" s="74"/>
      <c r="IZ1345" s="74"/>
      <c r="JA1345" s="74"/>
    </row>
    <row r="1346" spans="1:261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Q1346" s="74"/>
      <c r="R1346" s="74"/>
      <c r="S1346" s="74"/>
      <c r="T1346" s="74"/>
      <c r="U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  <c r="IW1346" s="74"/>
      <c r="IX1346" s="74"/>
      <c r="IY1346" s="74"/>
      <c r="IZ1346" s="74"/>
      <c r="JA1346" s="74"/>
    </row>
    <row r="1347" spans="1:261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Q1347" s="74"/>
      <c r="R1347" s="74"/>
      <c r="S1347" s="74"/>
      <c r="T1347" s="74"/>
      <c r="U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  <c r="IW1347" s="74"/>
      <c r="IX1347" s="74"/>
      <c r="IY1347" s="74"/>
      <c r="IZ1347" s="74"/>
      <c r="JA1347" s="74"/>
    </row>
    <row r="1348" spans="1:261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Q1348" s="74"/>
      <c r="R1348" s="74"/>
      <c r="S1348" s="74"/>
      <c r="T1348" s="74"/>
      <c r="U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  <c r="IW1348" s="74"/>
      <c r="IX1348" s="74"/>
      <c r="IY1348" s="74"/>
      <c r="IZ1348" s="74"/>
      <c r="JA1348" s="74"/>
    </row>
    <row r="1349" spans="1:261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Q1349" s="74"/>
      <c r="R1349" s="74"/>
      <c r="S1349" s="74"/>
      <c r="T1349" s="74"/>
      <c r="U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  <c r="IW1349" s="74"/>
      <c r="IX1349" s="74"/>
      <c r="IY1349" s="74"/>
      <c r="IZ1349" s="74"/>
      <c r="JA1349" s="74"/>
    </row>
    <row r="1350" spans="1:261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Q1350" s="74"/>
      <c r="R1350" s="74"/>
      <c r="S1350" s="74"/>
      <c r="T1350" s="74"/>
      <c r="U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  <c r="IW1350" s="74"/>
      <c r="IX1350" s="74"/>
      <c r="IY1350" s="74"/>
      <c r="IZ1350" s="74"/>
      <c r="JA1350" s="74"/>
    </row>
    <row r="1351" spans="1:261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  <c r="U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  <c r="IW1351" s="74"/>
      <c r="IX1351" s="74"/>
      <c r="IY1351" s="74"/>
      <c r="IZ1351" s="74"/>
      <c r="JA1351" s="74"/>
    </row>
    <row r="1352" spans="1:261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  <c r="U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  <c r="IW1352" s="74"/>
      <c r="IX1352" s="74"/>
      <c r="IY1352" s="74"/>
      <c r="IZ1352" s="74"/>
      <c r="JA1352" s="74"/>
    </row>
    <row r="1353" spans="1:261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Q1353" s="74"/>
      <c r="R1353" s="74"/>
      <c r="S1353" s="74"/>
      <c r="T1353" s="74"/>
      <c r="U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  <c r="IW1353" s="74"/>
      <c r="IX1353" s="74"/>
      <c r="IY1353" s="74"/>
      <c r="IZ1353" s="74"/>
      <c r="JA1353" s="74"/>
    </row>
    <row r="1354" spans="1:261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Q1354" s="74"/>
      <c r="R1354" s="74"/>
      <c r="S1354" s="74"/>
      <c r="T1354" s="74"/>
      <c r="U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  <c r="IW1354" s="74"/>
      <c r="IX1354" s="74"/>
      <c r="IY1354" s="74"/>
      <c r="IZ1354" s="74"/>
      <c r="JA1354" s="74"/>
    </row>
    <row r="1355" spans="1:261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Q1355" s="74"/>
      <c r="R1355" s="74"/>
      <c r="S1355" s="74"/>
      <c r="T1355" s="74"/>
      <c r="U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  <c r="IW1355" s="74"/>
      <c r="IX1355" s="74"/>
      <c r="IY1355" s="74"/>
      <c r="IZ1355" s="74"/>
      <c r="JA1355" s="74"/>
    </row>
    <row r="1356" spans="1:261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Q1356" s="74"/>
      <c r="R1356" s="74"/>
      <c r="S1356" s="74"/>
      <c r="T1356" s="74"/>
      <c r="U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  <c r="IW1356" s="74"/>
      <c r="IX1356" s="74"/>
      <c r="IY1356" s="74"/>
      <c r="IZ1356" s="74"/>
      <c r="JA1356" s="74"/>
    </row>
    <row r="1357" spans="1:261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Q1357" s="74"/>
      <c r="R1357" s="74"/>
      <c r="S1357" s="74"/>
      <c r="T1357" s="74"/>
      <c r="U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  <c r="IW1357" s="74"/>
      <c r="IX1357" s="74"/>
      <c r="IY1357" s="74"/>
      <c r="IZ1357" s="74"/>
      <c r="JA1357" s="74"/>
    </row>
    <row r="1358" spans="1:261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Q1358" s="74"/>
      <c r="R1358" s="74"/>
      <c r="S1358" s="74"/>
      <c r="T1358" s="74"/>
      <c r="U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  <c r="IW1358" s="74"/>
      <c r="IX1358" s="74"/>
      <c r="IY1358" s="74"/>
      <c r="IZ1358" s="74"/>
      <c r="JA1358" s="74"/>
    </row>
    <row r="1359" spans="1:261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Q1359" s="74"/>
      <c r="R1359" s="74"/>
      <c r="S1359" s="74"/>
      <c r="T1359" s="74"/>
      <c r="U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  <c r="IW1359" s="74"/>
      <c r="IX1359" s="74"/>
      <c r="IY1359" s="74"/>
      <c r="IZ1359" s="74"/>
      <c r="JA1359" s="74"/>
    </row>
    <row r="1360" spans="1:261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Q1360" s="74"/>
      <c r="R1360" s="74"/>
      <c r="S1360" s="74"/>
      <c r="T1360" s="74"/>
      <c r="U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  <c r="IW1360" s="74"/>
      <c r="IX1360" s="74"/>
      <c r="IY1360" s="74"/>
      <c r="IZ1360" s="74"/>
      <c r="JA1360" s="74"/>
    </row>
    <row r="1361" spans="1:261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Q1361" s="74"/>
      <c r="R1361" s="74"/>
      <c r="S1361" s="74"/>
      <c r="T1361" s="74"/>
      <c r="U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  <c r="IW1361" s="74"/>
      <c r="IX1361" s="74"/>
      <c r="IY1361" s="74"/>
      <c r="IZ1361" s="74"/>
      <c r="JA1361" s="74"/>
    </row>
    <row r="1362" spans="1:261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Q1362" s="74"/>
      <c r="R1362" s="74"/>
      <c r="S1362" s="74"/>
      <c r="T1362" s="74"/>
      <c r="U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  <c r="IW1362" s="74"/>
      <c r="IX1362" s="74"/>
      <c r="IY1362" s="74"/>
      <c r="IZ1362" s="74"/>
      <c r="JA1362" s="74"/>
    </row>
    <row r="1363" spans="1:261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Q1363" s="74"/>
      <c r="R1363" s="74"/>
      <c r="S1363" s="74"/>
      <c r="T1363" s="74"/>
      <c r="U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  <c r="IW1363" s="74"/>
      <c r="IX1363" s="74"/>
      <c r="IY1363" s="74"/>
      <c r="IZ1363" s="74"/>
      <c r="JA1363" s="74"/>
    </row>
    <row r="1364" spans="1:261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Q1364" s="74"/>
      <c r="R1364" s="74"/>
      <c r="S1364" s="74"/>
      <c r="T1364" s="74"/>
      <c r="U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  <c r="IW1364" s="74"/>
      <c r="IX1364" s="74"/>
      <c r="IY1364" s="74"/>
      <c r="IZ1364" s="74"/>
      <c r="JA1364" s="74"/>
    </row>
    <row r="1365" spans="1:261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Q1365" s="74"/>
      <c r="R1365" s="74"/>
      <c r="S1365" s="74"/>
      <c r="T1365" s="74"/>
      <c r="U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  <c r="IW1365" s="74"/>
      <c r="IX1365" s="74"/>
      <c r="IY1365" s="74"/>
      <c r="IZ1365" s="74"/>
      <c r="JA1365" s="74"/>
    </row>
    <row r="1366" spans="1:261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Q1366" s="74"/>
      <c r="R1366" s="74"/>
      <c r="S1366" s="74"/>
      <c r="T1366" s="74"/>
      <c r="U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  <c r="IW1366" s="74"/>
      <c r="IX1366" s="74"/>
      <c r="IY1366" s="74"/>
      <c r="IZ1366" s="74"/>
      <c r="JA1366" s="74"/>
    </row>
    <row r="1367" spans="1:261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Q1367" s="74"/>
      <c r="R1367" s="74"/>
      <c r="S1367" s="74"/>
      <c r="T1367" s="74"/>
      <c r="U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  <c r="IW1367" s="74"/>
      <c r="IX1367" s="74"/>
      <c r="IY1367" s="74"/>
      <c r="IZ1367" s="74"/>
      <c r="JA1367" s="74"/>
    </row>
    <row r="1368" spans="1:261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Q1368" s="74"/>
      <c r="R1368" s="74"/>
      <c r="S1368" s="74"/>
      <c r="T1368" s="74"/>
      <c r="U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  <c r="IW1368" s="74"/>
      <c r="IX1368" s="74"/>
      <c r="IY1368" s="74"/>
      <c r="IZ1368" s="74"/>
      <c r="JA1368" s="74"/>
    </row>
    <row r="1369" spans="1:261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Q1369" s="74"/>
      <c r="R1369" s="74"/>
      <c r="S1369" s="74"/>
      <c r="T1369" s="74"/>
      <c r="U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  <c r="IW1369" s="74"/>
      <c r="IX1369" s="74"/>
      <c r="IY1369" s="74"/>
      <c r="IZ1369" s="74"/>
      <c r="JA1369" s="74"/>
    </row>
    <row r="1370" spans="1:261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Q1370" s="74"/>
      <c r="R1370" s="74"/>
      <c r="S1370" s="74"/>
      <c r="T1370" s="74"/>
      <c r="U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  <c r="IW1370" s="74"/>
      <c r="IX1370" s="74"/>
      <c r="IY1370" s="74"/>
      <c r="IZ1370" s="74"/>
      <c r="JA1370" s="74"/>
    </row>
    <row r="1371" spans="1:261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Q1371" s="74"/>
      <c r="R1371" s="74"/>
      <c r="S1371" s="74"/>
      <c r="T1371" s="74"/>
      <c r="U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  <c r="IW1371" s="74"/>
      <c r="IX1371" s="74"/>
      <c r="IY1371" s="74"/>
      <c r="IZ1371" s="74"/>
      <c r="JA1371" s="74"/>
    </row>
    <row r="1372" spans="1:261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Q1372" s="74"/>
      <c r="R1372" s="74"/>
      <c r="S1372" s="74"/>
      <c r="T1372" s="74"/>
      <c r="U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  <c r="IW1372" s="74"/>
      <c r="IX1372" s="74"/>
      <c r="IY1372" s="74"/>
      <c r="IZ1372" s="74"/>
      <c r="JA1372" s="74"/>
    </row>
    <row r="1373" spans="1:261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Q1373" s="74"/>
      <c r="R1373" s="74"/>
      <c r="S1373" s="74"/>
      <c r="T1373" s="74"/>
      <c r="U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  <c r="IW1373" s="74"/>
      <c r="IX1373" s="74"/>
      <c r="IY1373" s="74"/>
      <c r="IZ1373" s="74"/>
      <c r="JA1373" s="74"/>
    </row>
    <row r="1374" spans="1:261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Q1374" s="74"/>
      <c r="R1374" s="74"/>
      <c r="S1374" s="74"/>
      <c r="T1374" s="74"/>
      <c r="U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  <c r="IW1374" s="74"/>
      <c r="IX1374" s="74"/>
      <c r="IY1374" s="74"/>
      <c r="IZ1374" s="74"/>
      <c r="JA1374" s="74"/>
    </row>
    <row r="1375" spans="1:261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Q1375" s="74"/>
      <c r="R1375" s="74"/>
      <c r="S1375" s="74"/>
      <c r="T1375" s="74"/>
      <c r="U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  <c r="IW1375" s="74"/>
      <c r="IX1375" s="74"/>
      <c r="IY1375" s="74"/>
      <c r="IZ1375" s="74"/>
      <c r="JA1375" s="74"/>
    </row>
    <row r="1376" spans="1:261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Q1376" s="74"/>
      <c r="R1376" s="74"/>
      <c r="S1376" s="74"/>
      <c r="T1376" s="74"/>
      <c r="U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  <c r="IW1376" s="74"/>
      <c r="IX1376" s="74"/>
      <c r="IY1376" s="74"/>
      <c r="IZ1376" s="74"/>
      <c r="JA1376" s="74"/>
    </row>
    <row r="1377" spans="1:261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Q1377" s="74"/>
      <c r="R1377" s="74"/>
      <c r="S1377" s="74"/>
      <c r="T1377" s="74"/>
      <c r="U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  <c r="IW1377" s="74"/>
      <c r="IX1377" s="74"/>
      <c r="IY1377" s="74"/>
      <c r="IZ1377" s="74"/>
      <c r="JA1377" s="74"/>
    </row>
    <row r="1378" spans="1:261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Q1378" s="74"/>
      <c r="R1378" s="74"/>
      <c r="S1378" s="74"/>
      <c r="T1378" s="74"/>
      <c r="U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  <c r="IW1378" s="74"/>
      <c r="IX1378" s="74"/>
      <c r="IY1378" s="74"/>
      <c r="IZ1378" s="74"/>
      <c r="JA1378" s="74"/>
    </row>
    <row r="1379" spans="1:261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Q1379" s="74"/>
      <c r="R1379" s="74"/>
      <c r="S1379" s="74"/>
      <c r="T1379" s="74"/>
      <c r="U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  <c r="IW1379" s="74"/>
      <c r="IX1379" s="74"/>
      <c r="IY1379" s="74"/>
      <c r="IZ1379" s="74"/>
      <c r="JA1379" s="74"/>
    </row>
    <row r="1380" spans="1:261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Q1380" s="74"/>
      <c r="R1380" s="74"/>
      <c r="S1380" s="74"/>
      <c r="T1380" s="74"/>
      <c r="U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  <c r="IW1380" s="74"/>
      <c r="IX1380" s="74"/>
      <c r="IY1380" s="74"/>
      <c r="IZ1380" s="74"/>
      <c r="JA1380" s="74"/>
    </row>
    <row r="1381" spans="1:261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Q1381" s="74"/>
      <c r="R1381" s="74"/>
      <c r="S1381" s="74"/>
      <c r="T1381" s="74"/>
      <c r="U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  <c r="IW1381" s="74"/>
      <c r="IX1381" s="74"/>
      <c r="IY1381" s="74"/>
      <c r="IZ1381" s="74"/>
      <c r="JA1381" s="74"/>
    </row>
    <row r="1382" spans="1:261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Q1382" s="74"/>
      <c r="R1382" s="74"/>
      <c r="S1382" s="74"/>
      <c r="T1382" s="74"/>
      <c r="U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  <c r="IW1382" s="74"/>
      <c r="IX1382" s="74"/>
      <c r="IY1382" s="74"/>
      <c r="IZ1382" s="74"/>
      <c r="JA1382" s="74"/>
    </row>
    <row r="1383" spans="1:261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Q1383" s="74"/>
      <c r="R1383" s="74"/>
      <c r="S1383" s="74"/>
      <c r="T1383" s="74"/>
      <c r="U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  <c r="IW1383" s="74"/>
      <c r="IX1383" s="74"/>
      <c r="IY1383" s="74"/>
      <c r="IZ1383" s="74"/>
      <c r="JA1383" s="74"/>
    </row>
    <row r="1384" spans="1:261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Q1384" s="74"/>
      <c r="R1384" s="74"/>
      <c r="S1384" s="74"/>
      <c r="T1384" s="74"/>
      <c r="U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  <c r="IW1384" s="74"/>
      <c r="IX1384" s="74"/>
      <c r="IY1384" s="74"/>
      <c r="IZ1384" s="74"/>
      <c r="JA1384" s="74"/>
    </row>
    <row r="1385" spans="1:261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Q1385" s="74"/>
      <c r="R1385" s="74"/>
      <c r="S1385" s="74"/>
      <c r="T1385" s="74"/>
      <c r="U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  <c r="IW1385" s="74"/>
      <c r="IX1385" s="74"/>
      <c r="IY1385" s="74"/>
      <c r="IZ1385" s="74"/>
      <c r="JA1385" s="74"/>
    </row>
    <row r="1386" spans="1:261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Q1386" s="74"/>
      <c r="R1386" s="74"/>
      <c r="S1386" s="74"/>
      <c r="T1386" s="74"/>
      <c r="U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  <c r="IW1386" s="74"/>
      <c r="IX1386" s="74"/>
      <c r="IY1386" s="74"/>
      <c r="IZ1386" s="74"/>
      <c r="JA1386" s="74"/>
    </row>
    <row r="1387" spans="1:261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Q1387" s="74"/>
      <c r="R1387" s="74"/>
      <c r="S1387" s="74"/>
      <c r="T1387" s="74"/>
      <c r="U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  <c r="IW1387" s="74"/>
      <c r="IX1387" s="74"/>
      <c r="IY1387" s="74"/>
      <c r="IZ1387" s="74"/>
      <c r="JA1387" s="74"/>
    </row>
    <row r="1388" spans="1:261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Q1388" s="74"/>
      <c r="R1388" s="74"/>
      <c r="S1388" s="74"/>
      <c r="T1388" s="74"/>
      <c r="U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  <c r="IW1388" s="74"/>
      <c r="IX1388" s="74"/>
      <c r="IY1388" s="74"/>
      <c r="IZ1388" s="74"/>
      <c r="JA1388" s="74"/>
    </row>
    <row r="1389" spans="1:261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Q1389" s="74"/>
      <c r="R1389" s="74"/>
      <c r="S1389" s="74"/>
      <c r="T1389" s="74"/>
      <c r="U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  <c r="IW1389" s="74"/>
      <c r="IX1389" s="74"/>
      <c r="IY1389" s="74"/>
      <c r="IZ1389" s="74"/>
      <c r="JA1389" s="74"/>
    </row>
    <row r="1390" spans="1:261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Q1390" s="74"/>
      <c r="R1390" s="74"/>
      <c r="S1390" s="74"/>
      <c r="T1390" s="74"/>
      <c r="U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  <c r="IW1390" s="74"/>
      <c r="IX1390" s="74"/>
      <c r="IY1390" s="74"/>
      <c r="IZ1390" s="74"/>
      <c r="JA1390" s="74"/>
    </row>
    <row r="1391" spans="1:261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Q1391" s="74"/>
      <c r="R1391" s="74"/>
      <c r="S1391" s="74"/>
      <c r="T1391" s="74"/>
      <c r="U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  <c r="IW1391" s="74"/>
      <c r="IX1391" s="74"/>
      <c r="IY1391" s="74"/>
      <c r="IZ1391" s="74"/>
      <c r="JA1391" s="74"/>
    </row>
    <row r="1392" spans="1:261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Q1392" s="74"/>
      <c r="R1392" s="74"/>
      <c r="S1392" s="74"/>
      <c r="T1392" s="74"/>
      <c r="U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  <c r="IW1392" s="74"/>
      <c r="IX1392" s="74"/>
      <c r="IY1392" s="74"/>
      <c r="IZ1392" s="74"/>
      <c r="JA1392" s="74"/>
    </row>
    <row r="1393" spans="1:261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Q1393" s="74"/>
      <c r="R1393" s="74"/>
      <c r="S1393" s="74"/>
      <c r="T1393" s="74"/>
      <c r="U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  <c r="IW1393" s="74"/>
      <c r="IX1393" s="74"/>
      <c r="IY1393" s="74"/>
      <c r="IZ1393" s="74"/>
      <c r="JA1393" s="74"/>
    </row>
    <row r="1394" spans="1:261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Q1394" s="74"/>
      <c r="R1394" s="74"/>
      <c r="S1394" s="74"/>
      <c r="T1394" s="74"/>
      <c r="U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  <c r="IW1394" s="74"/>
      <c r="IX1394" s="74"/>
      <c r="IY1394" s="74"/>
      <c r="IZ1394" s="74"/>
      <c r="JA1394" s="74"/>
    </row>
    <row r="1395" spans="1:261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Q1395" s="74"/>
      <c r="R1395" s="74"/>
      <c r="S1395" s="74"/>
      <c r="T1395" s="74"/>
      <c r="U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  <c r="IW1395" s="74"/>
      <c r="IX1395" s="74"/>
      <c r="IY1395" s="74"/>
      <c r="IZ1395" s="74"/>
      <c r="JA1395" s="74"/>
    </row>
    <row r="1396" spans="1:261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  <c r="U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  <c r="IW1396" s="74"/>
      <c r="IX1396" s="74"/>
      <c r="IY1396" s="74"/>
      <c r="IZ1396" s="74"/>
      <c r="JA1396" s="74"/>
    </row>
    <row r="1397" spans="1:261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  <c r="U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  <c r="IW1397" s="74"/>
      <c r="IX1397" s="74"/>
      <c r="IY1397" s="74"/>
      <c r="IZ1397" s="74"/>
      <c r="JA1397" s="74"/>
    </row>
    <row r="1398" spans="1:261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Q1398" s="74"/>
      <c r="R1398" s="74"/>
      <c r="S1398" s="74"/>
      <c r="T1398" s="74"/>
      <c r="U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  <c r="IW1398" s="74"/>
      <c r="IX1398" s="74"/>
      <c r="IY1398" s="74"/>
      <c r="IZ1398" s="74"/>
      <c r="JA1398" s="74"/>
    </row>
    <row r="1399" spans="1:261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Q1399" s="74"/>
      <c r="R1399" s="74"/>
      <c r="S1399" s="74"/>
      <c r="T1399" s="74"/>
      <c r="U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  <c r="IW1399" s="74"/>
      <c r="IX1399" s="74"/>
      <c r="IY1399" s="74"/>
      <c r="IZ1399" s="74"/>
      <c r="JA1399" s="74"/>
    </row>
    <row r="1400" spans="1:261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Q1400" s="74"/>
      <c r="R1400" s="74"/>
      <c r="S1400" s="74"/>
      <c r="T1400" s="74"/>
      <c r="U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  <c r="IW1400" s="74"/>
      <c r="IX1400" s="74"/>
      <c r="IY1400" s="74"/>
      <c r="IZ1400" s="74"/>
      <c r="JA1400" s="74"/>
    </row>
    <row r="1401" spans="1:261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Q1401" s="74"/>
      <c r="R1401" s="74"/>
      <c r="S1401" s="74"/>
      <c r="T1401" s="74"/>
      <c r="U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  <c r="IW1401" s="74"/>
      <c r="IX1401" s="74"/>
      <c r="IY1401" s="74"/>
      <c r="IZ1401" s="74"/>
      <c r="JA1401" s="74"/>
    </row>
    <row r="1402" spans="1:261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Q1402" s="74"/>
      <c r="R1402" s="74"/>
      <c r="S1402" s="74"/>
      <c r="T1402" s="74"/>
      <c r="U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  <c r="IW1402" s="74"/>
      <c r="IX1402" s="74"/>
      <c r="IY1402" s="74"/>
      <c r="IZ1402" s="74"/>
      <c r="JA1402" s="74"/>
    </row>
    <row r="1403" spans="1:261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74"/>
      <c r="R1403" s="74"/>
      <c r="S1403" s="74"/>
      <c r="T1403" s="74"/>
      <c r="U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  <c r="IW1403" s="74"/>
      <c r="IX1403" s="74"/>
      <c r="IY1403" s="74"/>
      <c r="IZ1403" s="74"/>
      <c r="JA1403" s="74"/>
    </row>
    <row r="1404" spans="1:261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Q1404" s="74"/>
      <c r="R1404" s="74"/>
      <c r="S1404" s="74"/>
      <c r="T1404" s="74"/>
      <c r="U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  <c r="IW1404" s="74"/>
      <c r="IX1404" s="74"/>
      <c r="IY1404" s="74"/>
      <c r="IZ1404" s="74"/>
      <c r="JA1404" s="74"/>
    </row>
    <row r="1405" spans="1:261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Q1405" s="74"/>
      <c r="R1405" s="74"/>
      <c r="S1405" s="74"/>
      <c r="T1405" s="74"/>
      <c r="U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  <c r="IW1405" s="74"/>
      <c r="IX1405" s="74"/>
      <c r="IY1405" s="74"/>
      <c r="IZ1405" s="74"/>
      <c r="JA1405" s="74"/>
    </row>
    <row r="1406" spans="1:261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74"/>
      <c r="R1406" s="74"/>
      <c r="S1406" s="74"/>
      <c r="T1406" s="74"/>
      <c r="U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  <c r="IW1406" s="74"/>
      <c r="IX1406" s="74"/>
      <c r="IY1406" s="74"/>
      <c r="IZ1406" s="74"/>
      <c r="JA1406" s="74"/>
    </row>
    <row r="1407" spans="1:261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Q1407" s="74"/>
      <c r="R1407" s="74"/>
      <c r="S1407" s="74"/>
      <c r="T1407" s="74"/>
      <c r="U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  <c r="IW1407" s="74"/>
      <c r="IX1407" s="74"/>
      <c r="IY1407" s="74"/>
      <c r="IZ1407" s="74"/>
      <c r="JA1407" s="74"/>
    </row>
    <row r="1408" spans="1:261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Q1408" s="74"/>
      <c r="R1408" s="74"/>
      <c r="S1408" s="74"/>
      <c r="T1408" s="74"/>
      <c r="U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  <c r="IW1408" s="74"/>
      <c r="IX1408" s="74"/>
      <c r="IY1408" s="74"/>
      <c r="IZ1408" s="74"/>
      <c r="JA1408" s="74"/>
    </row>
    <row r="1409" spans="1:261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Q1409" s="74"/>
      <c r="R1409" s="74"/>
      <c r="S1409" s="74"/>
      <c r="T1409" s="74"/>
      <c r="U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  <c r="IW1409" s="74"/>
      <c r="IX1409" s="74"/>
      <c r="IY1409" s="74"/>
      <c r="IZ1409" s="74"/>
      <c r="JA1409" s="74"/>
    </row>
    <row r="1410" spans="1:261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Q1410" s="74"/>
      <c r="R1410" s="74"/>
      <c r="S1410" s="74"/>
      <c r="T1410" s="74"/>
      <c r="U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  <c r="IW1410" s="74"/>
      <c r="IX1410" s="74"/>
      <c r="IY1410" s="74"/>
      <c r="IZ1410" s="74"/>
      <c r="JA1410" s="74"/>
    </row>
    <row r="1411" spans="1:261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Q1411" s="74"/>
      <c r="R1411" s="74"/>
      <c r="S1411" s="74"/>
      <c r="T1411" s="74"/>
      <c r="U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  <c r="IW1411" s="74"/>
      <c r="IX1411" s="74"/>
      <c r="IY1411" s="74"/>
      <c r="IZ1411" s="74"/>
      <c r="JA1411" s="74"/>
    </row>
    <row r="1412" spans="1:261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74"/>
      <c r="R1412" s="74"/>
      <c r="S1412" s="74"/>
      <c r="T1412" s="74"/>
      <c r="U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  <c r="IW1412" s="74"/>
      <c r="IX1412" s="74"/>
      <c r="IY1412" s="74"/>
      <c r="IZ1412" s="74"/>
      <c r="JA1412" s="74"/>
    </row>
    <row r="1413" spans="1:261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Q1413" s="74"/>
      <c r="R1413" s="74"/>
      <c r="S1413" s="74"/>
      <c r="T1413" s="74"/>
      <c r="U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  <c r="IW1413" s="74"/>
      <c r="IX1413" s="74"/>
      <c r="IY1413" s="74"/>
      <c r="IZ1413" s="74"/>
      <c r="JA1413" s="74"/>
    </row>
    <row r="1414" spans="1:261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Q1414" s="74"/>
      <c r="R1414" s="74"/>
      <c r="S1414" s="74"/>
      <c r="T1414" s="74"/>
      <c r="U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  <c r="IW1414" s="74"/>
      <c r="IX1414" s="74"/>
      <c r="IY1414" s="74"/>
      <c r="IZ1414" s="74"/>
      <c r="JA1414" s="74"/>
    </row>
    <row r="1415" spans="1:261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Q1415" s="74"/>
      <c r="R1415" s="74"/>
      <c r="S1415" s="74"/>
      <c r="T1415" s="74"/>
      <c r="U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  <c r="IW1415" s="74"/>
      <c r="IX1415" s="74"/>
      <c r="IY1415" s="74"/>
      <c r="IZ1415" s="74"/>
      <c r="JA1415" s="74"/>
    </row>
    <row r="1416" spans="1:261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Q1416" s="74"/>
      <c r="R1416" s="74"/>
      <c r="S1416" s="74"/>
      <c r="T1416" s="74"/>
      <c r="U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  <c r="IW1416" s="74"/>
      <c r="IX1416" s="74"/>
      <c r="IY1416" s="74"/>
      <c r="IZ1416" s="74"/>
      <c r="JA1416" s="74"/>
    </row>
    <row r="1417" spans="1:261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Q1417" s="74"/>
      <c r="R1417" s="74"/>
      <c r="S1417" s="74"/>
      <c r="T1417" s="74"/>
      <c r="U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  <c r="IW1417" s="74"/>
      <c r="IX1417" s="74"/>
      <c r="IY1417" s="74"/>
      <c r="IZ1417" s="74"/>
      <c r="JA1417" s="74"/>
    </row>
    <row r="1418" spans="1:261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Q1418" s="74"/>
      <c r="R1418" s="74"/>
      <c r="S1418" s="74"/>
      <c r="T1418" s="74"/>
      <c r="U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  <c r="IW1418" s="74"/>
      <c r="IX1418" s="74"/>
      <c r="IY1418" s="74"/>
      <c r="IZ1418" s="74"/>
      <c r="JA1418" s="74"/>
    </row>
    <row r="1419" spans="1:261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Q1419" s="74"/>
      <c r="R1419" s="74"/>
      <c r="S1419" s="74"/>
      <c r="T1419" s="74"/>
      <c r="U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  <c r="IW1419" s="74"/>
      <c r="IX1419" s="74"/>
      <c r="IY1419" s="74"/>
      <c r="IZ1419" s="74"/>
      <c r="JA1419" s="74"/>
    </row>
    <row r="1420" spans="1:261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Q1420" s="74"/>
      <c r="R1420" s="74"/>
      <c r="S1420" s="74"/>
      <c r="T1420" s="74"/>
      <c r="U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  <c r="IW1420" s="74"/>
      <c r="IX1420" s="74"/>
      <c r="IY1420" s="74"/>
      <c r="IZ1420" s="74"/>
      <c r="JA1420" s="74"/>
    </row>
    <row r="1421" spans="1:261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Q1421" s="74"/>
      <c r="R1421" s="74"/>
      <c r="S1421" s="74"/>
      <c r="T1421" s="74"/>
      <c r="U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  <c r="IW1421" s="74"/>
      <c r="IX1421" s="74"/>
      <c r="IY1421" s="74"/>
      <c r="IZ1421" s="74"/>
      <c r="JA1421" s="74"/>
    </row>
    <row r="1422" spans="1:261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Q1422" s="74"/>
      <c r="R1422" s="74"/>
      <c r="S1422" s="74"/>
      <c r="T1422" s="74"/>
      <c r="U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  <c r="IW1422" s="74"/>
      <c r="IX1422" s="74"/>
      <c r="IY1422" s="74"/>
      <c r="IZ1422" s="74"/>
      <c r="JA1422" s="74"/>
    </row>
    <row r="1423" spans="1:261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Q1423" s="74"/>
      <c r="R1423" s="74"/>
      <c r="S1423" s="74"/>
      <c r="T1423" s="74"/>
      <c r="U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  <c r="IW1423" s="74"/>
      <c r="IX1423" s="74"/>
      <c r="IY1423" s="74"/>
      <c r="IZ1423" s="74"/>
      <c r="JA1423" s="74"/>
    </row>
    <row r="1424" spans="1:261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Q1424" s="74"/>
      <c r="R1424" s="74"/>
      <c r="S1424" s="74"/>
      <c r="T1424" s="74"/>
      <c r="U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  <c r="IW1424" s="74"/>
      <c r="IX1424" s="74"/>
      <c r="IY1424" s="74"/>
      <c r="IZ1424" s="74"/>
      <c r="JA1424" s="74"/>
    </row>
    <row r="1425" spans="1:261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Q1425" s="74"/>
      <c r="R1425" s="74"/>
      <c r="S1425" s="74"/>
      <c r="T1425" s="74"/>
      <c r="U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  <c r="IW1425" s="74"/>
      <c r="IX1425" s="74"/>
      <c r="IY1425" s="74"/>
      <c r="IZ1425" s="74"/>
      <c r="JA1425" s="74"/>
    </row>
    <row r="1426" spans="1:261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Q1426" s="74"/>
      <c r="R1426" s="74"/>
      <c r="S1426" s="74"/>
      <c r="T1426" s="74"/>
      <c r="U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  <c r="IW1426" s="74"/>
      <c r="IX1426" s="74"/>
      <c r="IY1426" s="74"/>
      <c r="IZ1426" s="74"/>
      <c r="JA1426" s="74"/>
    </row>
    <row r="1427" spans="1:261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Q1427" s="74"/>
      <c r="R1427" s="74"/>
      <c r="S1427" s="74"/>
      <c r="T1427" s="74"/>
      <c r="U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  <c r="IW1427" s="74"/>
      <c r="IX1427" s="74"/>
      <c r="IY1427" s="74"/>
      <c r="IZ1427" s="74"/>
      <c r="JA1427" s="74"/>
    </row>
    <row r="1428" spans="1:261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Q1428" s="74"/>
      <c r="R1428" s="74"/>
      <c r="S1428" s="74"/>
      <c r="T1428" s="74"/>
      <c r="U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  <c r="IW1428" s="74"/>
      <c r="IX1428" s="74"/>
      <c r="IY1428" s="74"/>
      <c r="IZ1428" s="74"/>
      <c r="JA1428" s="74"/>
    </row>
    <row r="1429" spans="1:261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Q1429" s="74"/>
      <c r="R1429" s="74"/>
      <c r="S1429" s="74"/>
      <c r="T1429" s="74"/>
      <c r="U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  <c r="IW1429" s="74"/>
      <c r="IX1429" s="74"/>
      <c r="IY1429" s="74"/>
      <c r="IZ1429" s="74"/>
      <c r="JA1429" s="74"/>
    </row>
    <row r="1430" spans="1:261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Q1430" s="74"/>
      <c r="R1430" s="74"/>
      <c r="S1430" s="74"/>
      <c r="T1430" s="74"/>
      <c r="U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  <c r="IW1430" s="74"/>
      <c r="IX1430" s="74"/>
      <c r="IY1430" s="74"/>
      <c r="IZ1430" s="74"/>
      <c r="JA1430" s="74"/>
    </row>
    <row r="1431" spans="1:261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Q1431" s="74"/>
      <c r="R1431" s="74"/>
      <c r="S1431" s="74"/>
      <c r="T1431" s="74"/>
      <c r="U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  <c r="IW1431" s="74"/>
      <c r="IX1431" s="74"/>
      <c r="IY1431" s="74"/>
      <c r="IZ1431" s="74"/>
      <c r="JA1431" s="74"/>
    </row>
    <row r="1432" spans="1:261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Q1432" s="74"/>
      <c r="R1432" s="74"/>
      <c r="S1432" s="74"/>
      <c r="T1432" s="74"/>
      <c r="U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  <c r="IW1432" s="74"/>
      <c r="IX1432" s="74"/>
      <c r="IY1432" s="74"/>
      <c r="IZ1432" s="74"/>
      <c r="JA1432" s="74"/>
    </row>
    <row r="1433" spans="1:261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Q1433" s="74"/>
      <c r="R1433" s="74"/>
      <c r="S1433" s="74"/>
      <c r="T1433" s="74"/>
      <c r="U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  <c r="IW1433" s="74"/>
      <c r="IX1433" s="74"/>
      <c r="IY1433" s="74"/>
      <c r="IZ1433" s="74"/>
      <c r="JA1433" s="74"/>
    </row>
    <row r="1434" spans="1:261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Q1434" s="74"/>
      <c r="R1434" s="74"/>
      <c r="S1434" s="74"/>
      <c r="T1434" s="74"/>
      <c r="U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  <c r="IW1434" s="74"/>
      <c r="IX1434" s="74"/>
      <c r="IY1434" s="74"/>
      <c r="IZ1434" s="74"/>
      <c r="JA1434" s="74"/>
    </row>
    <row r="1435" spans="1:261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Q1435" s="74"/>
      <c r="R1435" s="74"/>
      <c r="S1435" s="74"/>
      <c r="T1435" s="74"/>
      <c r="U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  <c r="IW1435" s="74"/>
      <c r="IX1435" s="74"/>
      <c r="IY1435" s="74"/>
      <c r="IZ1435" s="74"/>
      <c r="JA1435" s="74"/>
    </row>
    <row r="1436" spans="1:261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Q1436" s="74"/>
      <c r="R1436" s="74"/>
      <c r="S1436" s="74"/>
      <c r="T1436" s="74"/>
      <c r="U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  <c r="IW1436" s="74"/>
      <c r="IX1436" s="74"/>
      <c r="IY1436" s="74"/>
      <c r="IZ1436" s="74"/>
      <c r="JA1436" s="74"/>
    </row>
    <row r="1437" spans="1:261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Q1437" s="74"/>
      <c r="R1437" s="74"/>
      <c r="S1437" s="74"/>
      <c r="T1437" s="74"/>
      <c r="U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  <c r="IW1437" s="74"/>
      <c r="IX1437" s="74"/>
      <c r="IY1437" s="74"/>
      <c r="IZ1437" s="74"/>
      <c r="JA1437" s="74"/>
    </row>
    <row r="1438" spans="1:261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Q1438" s="74"/>
      <c r="R1438" s="74"/>
      <c r="S1438" s="74"/>
      <c r="T1438" s="74"/>
      <c r="U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  <c r="IW1438" s="74"/>
      <c r="IX1438" s="74"/>
      <c r="IY1438" s="74"/>
      <c r="IZ1438" s="74"/>
      <c r="JA1438" s="74"/>
    </row>
    <row r="1439" spans="1:261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Q1439" s="74"/>
      <c r="R1439" s="74"/>
      <c r="S1439" s="74"/>
      <c r="T1439" s="74"/>
      <c r="U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  <c r="IW1439" s="74"/>
      <c r="IX1439" s="74"/>
      <c r="IY1439" s="74"/>
      <c r="IZ1439" s="74"/>
      <c r="JA1439" s="74"/>
    </row>
    <row r="1440" spans="1:261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Q1440" s="74"/>
      <c r="R1440" s="74"/>
      <c r="S1440" s="74"/>
      <c r="T1440" s="74"/>
      <c r="U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  <c r="IW1440" s="74"/>
      <c r="IX1440" s="74"/>
      <c r="IY1440" s="74"/>
      <c r="IZ1440" s="74"/>
      <c r="JA1440" s="74"/>
    </row>
    <row r="1441" spans="1:261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  <c r="IW1441" s="74"/>
      <c r="IX1441" s="74"/>
      <c r="IY1441" s="74"/>
      <c r="IZ1441" s="74"/>
      <c r="JA1441" s="74"/>
    </row>
    <row r="1442" spans="1:261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  <c r="IW1442" s="74"/>
      <c r="IX1442" s="74"/>
      <c r="IY1442" s="74"/>
      <c r="IZ1442" s="74"/>
      <c r="JA1442" s="74"/>
    </row>
    <row r="1443" spans="1:261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Q1443" s="74"/>
      <c r="R1443" s="74"/>
      <c r="S1443" s="74"/>
      <c r="T1443" s="74"/>
      <c r="U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  <c r="IW1443" s="74"/>
      <c r="IX1443" s="74"/>
      <c r="IY1443" s="74"/>
      <c r="IZ1443" s="74"/>
      <c r="JA1443" s="74"/>
    </row>
    <row r="1444" spans="1:261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Q1444" s="74"/>
      <c r="R1444" s="74"/>
      <c r="S1444" s="74"/>
      <c r="T1444" s="74"/>
      <c r="U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  <c r="IW1444" s="74"/>
      <c r="IX1444" s="74"/>
      <c r="IY1444" s="74"/>
      <c r="IZ1444" s="74"/>
      <c r="JA1444" s="74"/>
    </row>
    <row r="1445" spans="1:261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Q1445" s="74"/>
      <c r="R1445" s="74"/>
      <c r="S1445" s="74"/>
      <c r="T1445" s="74"/>
      <c r="U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  <c r="IW1445" s="74"/>
      <c r="IX1445" s="74"/>
      <c r="IY1445" s="74"/>
      <c r="IZ1445" s="74"/>
      <c r="JA1445" s="74"/>
    </row>
    <row r="1446" spans="1:261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74"/>
      <c r="R1446" s="74"/>
      <c r="S1446" s="74"/>
      <c r="T1446" s="74"/>
      <c r="U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  <c r="IW1446" s="74"/>
      <c r="IX1446" s="74"/>
      <c r="IY1446" s="74"/>
      <c r="IZ1446" s="74"/>
      <c r="JA1446" s="74"/>
    </row>
    <row r="1447" spans="1:261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Q1447" s="74"/>
      <c r="R1447" s="74"/>
      <c r="S1447" s="74"/>
      <c r="T1447" s="74"/>
      <c r="U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  <c r="IW1447" s="74"/>
      <c r="IX1447" s="74"/>
      <c r="IY1447" s="74"/>
      <c r="IZ1447" s="74"/>
      <c r="JA1447" s="74"/>
    </row>
    <row r="1448" spans="1:261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Q1448" s="74"/>
      <c r="R1448" s="74"/>
      <c r="S1448" s="74"/>
      <c r="T1448" s="74"/>
      <c r="U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  <c r="IW1448" s="74"/>
      <c r="IX1448" s="74"/>
      <c r="IY1448" s="74"/>
      <c r="IZ1448" s="74"/>
      <c r="JA1448" s="74"/>
    </row>
    <row r="1449" spans="1:261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74"/>
      <c r="R1449" s="74"/>
      <c r="S1449" s="74"/>
      <c r="T1449" s="74"/>
      <c r="U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  <c r="IW1449" s="74"/>
      <c r="IX1449" s="74"/>
      <c r="IY1449" s="74"/>
      <c r="IZ1449" s="74"/>
      <c r="JA1449" s="74"/>
    </row>
    <row r="1450" spans="1:261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Q1450" s="74"/>
      <c r="R1450" s="74"/>
      <c r="S1450" s="74"/>
      <c r="T1450" s="74"/>
      <c r="U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  <c r="IW1450" s="74"/>
      <c r="IX1450" s="74"/>
      <c r="IY1450" s="74"/>
      <c r="IZ1450" s="74"/>
      <c r="JA1450" s="74"/>
    </row>
    <row r="1451" spans="1:261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Q1451" s="74"/>
      <c r="R1451" s="74"/>
      <c r="S1451" s="74"/>
      <c r="T1451" s="74"/>
      <c r="U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  <c r="IW1451" s="74"/>
      <c r="IX1451" s="74"/>
      <c r="IY1451" s="74"/>
      <c r="IZ1451" s="74"/>
      <c r="JA1451" s="74"/>
    </row>
    <row r="1452" spans="1:261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Q1452" s="74"/>
      <c r="R1452" s="74"/>
      <c r="S1452" s="74"/>
      <c r="T1452" s="74"/>
      <c r="U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  <c r="IW1452" s="74"/>
      <c r="IX1452" s="74"/>
      <c r="IY1452" s="74"/>
      <c r="IZ1452" s="74"/>
      <c r="JA1452" s="74"/>
    </row>
    <row r="1453" spans="1:261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Q1453" s="74"/>
      <c r="R1453" s="74"/>
      <c r="S1453" s="74"/>
      <c r="T1453" s="74"/>
      <c r="U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  <c r="IW1453" s="74"/>
      <c r="IX1453" s="74"/>
      <c r="IY1453" s="74"/>
      <c r="IZ1453" s="74"/>
      <c r="JA1453" s="74"/>
    </row>
    <row r="1454" spans="1:261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Q1454" s="74"/>
      <c r="R1454" s="74"/>
      <c r="S1454" s="74"/>
      <c r="T1454" s="74"/>
      <c r="U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  <c r="IW1454" s="74"/>
      <c r="IX1454" s="74"/>
      <c r="IY1454" s="74"/>
      <c r="IZ1454" s="74"/>
      <c r="JA1454" s="74"/>
    </row>
    <row r="1455" spans="1:261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74"/>
      <c r="R1455" s="74"/>
      <c r="S1455" s="74"/>
      <c r="T1455" s="74"/>
      <c r="U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  <c r="IW1455" s="74"/>
      <c r="IX1455" s="74"/>
      <c r="IY1455" s="74"/>
      <c r="IZ1455" s="74"/>
      <c r="JA1455" s="74"/>
    </row>
    <row r="1456" spans="1:261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Q1456" s="74"/>
      <c r="R1456" s="74"/>
      <c r="S1456" s="74"/>
      <c r="T1456" s="74"/>
      <c r="U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  <c r="IW1456" s="74"/>
      <c r="IX1456" s="74"/>
      <c r="IY1456" s="74"/>
      <c r="IZ1456" s="74"/>
      <c r="JA1456" s="74"/>
    </row>
    <row r="1457" spans="1:261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Q1457" s="74"/>
      <c r="R1457" s="74"/>
      <c r="S1457" s="74"/>
      <c r="T1457" s="74"/>
      <c r="U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  <c r="IW1457" s="74"/>
      <c r="IX1457" s="74"/>
      <c r="IY1457" s="74"/>
      <c r="IZ1457" s="74"/>
      <c r="JA1457" s="74"/>
    </row>
    <row r="1458" spans="1:261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Q1458" s="74"/>
      <c r="R1458" s="74"/>
      <c r="S1458" s="74"/>
      <c r="T1458" s="74"/>
      <c r="U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  <c r="IW1458" s="74"/>
      <c r="IX1458" s="74"/>
      <c r="IY1458" s="74"/>
      <c r="IZ1458" s="74"/>
      <c r="JA1458" s="74"/>
    </row>
    <row r="1459" spans="1:261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Q1459" s="74"/>
      <c r="R1459" s="74"/>
      <c r="S1459" s="74"/>
      <c r="T1459" s="74"/>
      <c r="U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  <c r="IW1459" s="74"/>
      <c r="IX1459" s="74"/>
      <c r="IY1459" s="74"/>
      <c r="IZ1459" s="74"/>
      <c r="JA1459" s="74"/>
    </row>
    <row r="1460" spans="1:261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Q1460" s="74"/>
      <c r="R1460" s="74"/>
      <c r="S1460" s="74"/>
      <c r="T1460" s="74"/>
      <c r="U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  <c r="IW1460" s="74"/>
      <c r="IX1460" s="74"/>
      <c r="IY1460" s="74"/>
      <c r="IZ1460" s="74"/>
      <c r="JA1460" s="74"/>
    </row>
    <row r="1461" spans="1:261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Q1461" s="74"/>
      <c r="R1461" s="74"/>
      <c r="S1461" s="74"/>
      <c r="T1461" s="74"/>
      <c r="U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  <c r="IW1461" s="74"/>
      <c r="IX1461" s="74"/>
      <c r="IY1461" s="74"/>
      <c r="IZ1461" s="74"/>
      <c r="JA1461" s="74"/>
    </row>
    <row r="1462" spans="1:261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Q1462" s="74"/>
      <c r="R1462" s="74"/>
      <c r="S1462" s="74"/>
      <c r="T1462" s="74"/>
      <c r="U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  <c r="IW1462" s="74"/>
      <c r="IX1462" s="74"/>
      <c r="IY1462" s="74"/>
      <c r="IZ1462" s="74"/>
      <c r="JA1462" s="74"/>
    </row>
    <row r="1463" spans="1:261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Q1463" s="74"/>
      <c r="R1463" s="74"/>
      <c r="S1463" s="74"/>
      <c r="T1463" s="74"/>
      <c r="U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  <c r="IW1463" s="74"/>
      <c r="IX1463" s="74"/>
      <c r="IY1463" s="74"/>
      <c r="IZ1463" s="74"/>
      <c r="JA1463" s="74"/>
    </row>
    <row r="1464" spans="1:261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Q1464" s="74"/>
      <c r="R1464" s="74"/>
      <c r="S1464" s="74"/>
      <c r="T1464" s="74"/>
      <c r="U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  <c r="IW1464" s="74"/>
      <c r="IX1464" s="74"/>
      <c r="IY1464" s="74"/>
      <c r="IZ1464" s="74"/>
      <c r="JA1464" s="74"/>
    </row>
    <row r="1465" spans="1:261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Q1465" s="74"/>
      <c r="R1465" s="74"/>
      <c r="S1465" s="74"/>
      <c r="T1465" s="74"/>
      <c r="U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  <c r="IW1465" s="74"/>
      <c r="IX1465" s="74"/>
      <c r="IY1465" s="74"/>
      <c r="IZ1465" s="74"/>
      <c r="JA1465" s="74"/>
    </row>
    <row r="1466" spans="1:261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Q1466" s="74"/>
      <c r="R1466" s="74"/>
      <c r="S1466" s="74"/>
      <c r="T1466" s="74"/>
      <c r="U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  <c r="IW1466" s="74"/>
      <c r="IX1466" s="74"/>
      <c r="IY1466" s="74"/>
      <c r="IZ1466" s="74"/>
      <c r="JA1466" s="74"/>
    </row>
    <row r="1467" spans="1:261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Q1467" s="74"/>
      <c r="R1467" s="74"/>
      <c r="S1467" s="74"/>
      <c r="T1467" s="74"/>
      <c r="U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  <c r="IW1467" s="74"/>
      <c r="IX1467" s="74"/>
      <c r="IY1467" s="74"/>
      <c r="IZ1467" s="74"/>
      <c r="JA1467" s="74"/>
    </row>
    <row r="1468" spans="1:261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Q1468" s="74"/>
      <c r="R1468" s="74"/>
      <c r="S1468" s="74"/>
      <c r="T1468" s="74"/>
      <c r="U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  <c r="IW1468" s="74"/>
      <c r="IX1468" s="74"/>
      <c r="IY1468" s="74"/>
      <c r="IZ1468" s="74"/>
      <c r="JA1468" s="74"/>
    </row>
    <row r="1469" spans="1:261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Q1469" s="74"/>
      <c r="R1469" s="74"/>
      <c r="S1469" s="74"/>
      <c r="T1469" s="74"/>
      <c r="U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  <c r="IW1469" s="74"/>
      <c r="IX1469" s="74"/>
      <c r="IY1469" s="74"/>
      <c r="IZ1469" s="74"/>
      <c r="JA1469" s="74"/>
    </row>
    <row r="1470" spans="1:261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Q1470" s="74"/>
      <c r="R1470" s="74"/>
      <c r="S1470" s="74"/>
      <c r="T1470" s="74"/>
      <c r="U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  <c r="IW1470" s="74"/>
      <c r="IX1470" s="74"/>
      <c r="IY1470" s="74"/>
      <c r="IZ1470" s="74"/>
      <c r="JA1470" s="74"/>
    </row>
    <row r="1471" spans="1:261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Q1471" s="74"/>
      <c r="R1471" s="74"/>
      <c r="S1471" s="74"/>
      <c r="T1471" s="74"/>
      <c r="U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  <c r="IW1471" s="74"/>
      <c r="IX1471" s="74"/>
      <c r="IY1471" s="74"/>
      <c r="IZ1471" s="74"/>
      <c r="JA1471" s="74"/>
    </row>
    <row r="1472" spans="1:261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Q1472" s="74"/>
      <c r="R1472" s="74"/>
      <c r="S1472" s="74"/>
      <c r="T1472" s="74"/>
      <c r="U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  <c r="IW1472" s="74"/>
      <c r="IX1472" s="74"/>
      <c r="IY1472" s="74"/>
      <c r="IZ1472" s="74"/>
      <c r="JA1472" s="74"/>
    </row>
    <row r="1473" spans="1:261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Q1473" s="74"/>
      <c r="R1473" s="74"/>
      <c r="S1473" s="74"/>
      <c r="T1473" s="74"/>
      <c r="U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  <c r="IW1473" s="74"/>
      <c r="IX1473" s="74"/>
      <c r="IY1473" s="74"/>
      <c r="IZ1473" s="74"/>
      <c r="JA1473" s="74"/>
    </row>
    <row r="1474" spans="1:261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Q1474" s="74"/>
      <c r="R1474" s="74"/>
      <c r="S1474" s="74"/>
      <c r="T1474" s="74"/>
      <c r="U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  <c r="IW1474" s="74"/>
      <c r="IX1474" s="74"/>
      <c r="IY1474" s="74"/>
      <c r="IZ1474" s="74"/>
      <c r="JA1474" s="74"/>
    </row>
    <row r="1475" spans="1:261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Q1475" s="74"/>
      <c r="R1475" s="74"/>
      <c r="S1475" s="74"/>
      <c r="T1475" s="74"/>
      <c r="U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  <c r="IW1475" s="74"/>
      <c r="IX1475" s="74"/>
      <c r="IY1475" s="74"/>
      <c r="IZ1475" s="74"/>
      <c r="JA1475" s="74"/>
    </row>
    <row r="1476" spans="1:261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Q1476" s="74"/>
      <c r="R1476" s="74"/>
      <c r="S1476" s="74"/>
      <c r="T1476" s="74"/>
      <c r="U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  <c r="IW1476" s="74"/>
      <c r="IX1476" s="74"/>
      <c r="IY1476" s="74"/>
      <c r="IZ1476" s="74"/>
      <c r="JA1476" s="74"/>
    </row>
    <row r="1477" spans="1:261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Q1477" s="74"/>
      <c r="R1477" s="74"/>
      <c r="S1477" s="74"/>
      <c r="T1477" s="74"/>
      <c r="U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  <c r="IW1477" s="74"/>
      <c r="IX1477" s="74"/>
      <c r="IY1477" s="74"/>
      <c r="IZ1477" s="74"/>
      <c r="JA1477" s="74"/>
    </row>
    <row r="1478" spans="1:261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Q1478" s="74"/>
      <c r="R1478" s="74"/>
      <c r="S1478" s="74"/>
      <c r="T1478" s="74"/>
      <c r="U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  <c r="IW1478" s="74"/>
      <c r="IX1478" s="74"/>
      <c r="IY1478" s="74"/>
      <c r="IZ1478" s="74"/>
      <c r="JA1478" s="74"/>
    </row>
    <row r="1479" spans="1:261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Q1479" s="74"/>
      <c r="R1479" s="74"/>
      <c r="S1479" s="74"/>
      <c r="T1479" s="74"/>
      <c r="U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  <c r="IW1479" s="74"/>
      <c r="IX1479" s="74"/>
      <c r="IY1479" s="74"/>
      <c r="IZ1479" s="74"/>
      <c r="JA1479" s="74"/>
    </row>
    <row r="1480" spans="1:261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Q1480" s="74"/>
      <c r="R1480" s="74"/>
      <c r="S1480" s="74"/>
      <c r="T1480" s="74"/>
      <c r="U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  <c r="IW1480" s="74"/>
      <c r="IX1480" s="74"/>
      <c r="IY1480" s="74"/>
      <c r="IZ1480" s="74"/>
      <c r="JA1480" s="74"/>
    </row>
    <row r="1481" spans="1:261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Q1481" s="74"/>
      <c r="R1481" s="74"/>
      <c r="S1481" s="74"/>
      <c r="T1481" s="74"/>
      <c r="U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  <c r="IW1481" s="74"/>
      <c r="IX1481" s="74"/>
      <c r="IY1481" s="74"/>
      <c r="IZ1481" s="74"/>
      <c r="JA1481" s="74"/>
    </row>
    <row r="1482" spans="1:261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Q1482" s="74"/>
      <c r="R1482" s="74"/>
      <c r="S1482" s="74"/>
      <c r="T1482" s="74"/>
      <c r="U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  <c r="IW1482" s="74"/>
      <c r="IX1482" s="74"/>
      <c r="IY1482" s="74"/>
      <c r="IZ1482" s="74"/>
      <c r="JA1482" s="74"/>
    </row>
    <row r="1483" spans="1:261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Q1483" s="74"/>
      <c r="R1483" s="74"/>
      <c r="S1483" s="74"/>
      <c r="T1483" s="74"/>
      <c r="U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  <c r="IW1483" s="74"/>
      <c r="IX1483" s="74"/>
      <c r="IY1483" s="74"/>
      <c r="IZ1483" s="74"/>
      <c r="JA1483" s="74"/>
    </row>
    <row r="1484" spans="1:261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Q1484" s="74"/>
      <c r="R1484" s="74"/>
      <c r="S1484" s="74"/>
      <c r="T1484" s="74"/>
      <c r="U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  <c r="IW1484" s="74"/>
      <c r="IX1484" s="74"/>
      <c r="IY1484" s="74"/>
      <c r="IZ1484" s="74"/>
      <c r="JA1484" s="74"/>
    </row>
    <row r="1485" spans="1:261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Q1485" s="74"/>
      <c r="R1485" s="74"/>
      <c r="S1485" s="74"/>
      <c r="T1485" s="74"/>
      <c r="U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  <c r="IW1485" s="74"/>
      <c r="IX1485" s="74"/>
      <c r="IY1485" s="74"/>
      <c r="IZ1485" s="74"/>
      <c r="JA1485" s="74"/>
    </row>
    <row r="1486" spans="1:261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  <c r="IW1486" s="74"/>
      <c r="IX1486" s="74"/>
      <c r="IY1486" s="74"/>
      <c r="IZ1486" s="74"/>
      <c r="JA1486" s="74"/>
    </row>
    <row r="1487" spans="1:261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  <c r="IW1487" s="74"/>
      <c r="IX1487" s="74"/>
      <c r="IY1487" s="74"/>
      <c r="IZ1487" s="74"/>
      <c r="JA1487" s="74"/>
    </row>
    <row r="1488" spans="1:261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Q1488" s="74"/>
      <c r="R1488" s="74"/>
      <c r="S1488" s="74"/>
      <c r="T1488" s="74"/>
      <c r="U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  <c r="IW1488" s="74"/>
      <c r="IX1488" s="74"/>
      <c r="IY1488" s="74"/>
      <c r="IZ1488" s="74"/>
      <c r="JA1488" s="74"/>
    </row>
    <row r="1489" spans="1:261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4"/>
      <c r="S1489" s="74"/>
      <c r="T1489" s="74"/>
      <c r="U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  <c r="IW1489" s="74"/>
      <c r="IX1489" s="74"/>
      <c r="IY1489" s="74"/>
      <c r="IZ1489" s="74"/>
      <c r="JA1489" s="74"/>
    </row>
    <row r="1490" spans="1:261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Q1490" s="74"/>
      <c r="R1490" s="74"/>
      <c r="S1490" s="74"/>
      <c r="T1490" s="74"/>
      <c r="U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  <c r="IW1490" s="74"/>
      <c r="IX1490" s="74"/>
      <c r="IY1490" s="74"/>
      <c r="IZ1490" s="74"/>
      <c r="JA1490" s="74"/>
    </row>
    <row r="1491" spans="1:261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Q1491" s="74"/>
      <c r="R1491" s="74"/>
      <c r="S1491" s="74"/>
      <c r="T1491" s="74"/>
      <c r="U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  <c r="IW1491" s="74"/>
      <c r="IX1491" s="74"/>
      <c r="IY1491" s="74"/>
      <c r="IZ1491" s="74"/>
      <c r="JA1491" s="74"/>
    </row>
    <row r="1492" spans="1:261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74"/>
      <c r="R1492" s="74"/>
      <c r="S1492" s="74"/>
      <c r="T1492" s="74"/>
      <c r="U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  <c r="IW1492" s="74"/>
      <c r="IX1492" s="74"/>
      <c r="IY1492" s="74"/>
      <c r="IZ1492" s="74"/>
      <c r="JA1492" s="74"/>
    </row>
    <row r="1493" spans="1:261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Q1493" s="74"/>
      <c r="R1493" s="74"/>
      <c r="S1493" s="74"/>
      <c r="T1493" s="74"/>
      <c r="U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  <c r="IW1493" s="74"/>
      <c r="IX1493" s="74"/>
      <c r="IY1493" s="74"/>
      <c r="IZ1493" s="74"/>
      <c r="JA1493" s="74"/>
    </row>
    <row r="1494" spans="1:261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Q1494" s="74"/>
      <c r="R1494" s="74"/>
      <c r="S1494" s="74"/>
      <c r="T1494" s="74"/>
      <c r="U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  <c r="IW1494" s="74"/>
      <c r="IX1494" s="74"/>
      <c r="IY1494" s="74"/>
      <c r="IZ1494" s="74"/>
      <c r="JA1494" s="74"/>
    </row>
    <row r="1495" spans="1:261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Q1495" s="74"/>
      <c r="R1495" s="74"/>
      <c r="S1495" s="74"/>
      <c r="T1495" s="74"/>
      <c r="U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  <c r="IW1495" s="74"/>
      <c r="IX1495" s="74"/>
      <c r="IY1495" s="74"/>
      <c r="IZ1495" s="74"/>
      <c r="JA1495" s="74"/>
    </row>
    <row r="1496" spans="1:261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Q1496" s="74"/>
      <c r="R1496" s="74"/>
      <c r="S1496" s="74"/>
      <c r="T1496" s="74"/>
      <c r="U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  <c r="IW1496" s="74"/>
      <c r="IX1496" s="74"/>
      <c r="IY1496" s="74"/>
      <c r="IZ1496" s="74"/>
      <c r="JA1496" s="74"/>
    </row>
    <row r="1497" spans="1:261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Q1497" s="74"/>
      <c r="R1497" s="74"/>
      <c r="S1497" s="74"/>
      <c r="T1497" s="74"/>
      <c r="U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  <c r="IW1497" s="74"/>
      <c r="IX1497" s="74"/>
      <c r="IY1497" s="74"/>
      <c r="IZ1497" s="74"/>
      <c r="JA1497" s="74"/>
    </row>
    <row r="1498" spans="1:261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74"/>
      <c r="R1498" s="74"/>
      <c r="S1498" s="74"/>
      <c r="T1498" s="74"/>
      <c r="U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  <c r="IW1498" s="74"/>
      <c r="IX1498" s="74"/>
      <c r="IY1498" s="74"/>
      <c r="IZ1498" s="74"/>
      <c r="JA1498" s="74"/>
    </row>
    <row r="1499" spans="1:261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Q1499" s="74"/>
      <c r="R1499" s="74"/>
      <c r="S1499" s="74"/>
      <c r="T1499" s="74"/>
      <c r="U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  <c r="IW1499" s="74"/>
      <c r="IX1499" s="74"/>
      <c r="IY1499" s="74"/>
      <c r="IZ1499" s="74"/>
      <c r="JA1499" s="74"/>
    </row>
    <row r="1500" spans="1:261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Q1500" s="74"/>
      <c r="R1500" s="74"/>
      <c r="S1500" s="74"/>
      <c r="T1500" s="74"/>
      <c r="U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  <c r="IW1500" s="74"/>
      <c r="IX1500" s="74"/>
      <c r="IY1500" s="74"/>
      <c r="IZ1500" s="74"/>
      <c r="JA1500" s="74"/>
    </row>
    <row r="1501" spans="1:261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Q1501" s="74"/>
      <c r="R1501" s="74"/>
      <c r="S1501" s="74"/>
      <c r="T1501" s="74"/>
      <c r="U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  <c r="IW1501" s="74"/>
      <c r="IX1501" s="74"/>
      <c r="IY1501" s="74"/>
      <c r="IZ1501" s="74"/>
      <c r="JA1501" s="74"/>
    </row>
    <row r="1502" spans="1:261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Q1502" s="74"/>
      <c r="R1502" s="74"/>
      <c r="S1502" s="74"/>
      <c r="T1502" s="74"/>
      <c r="U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  <c r="IW1502" s="74"/>
      <c r="IX1502" s="74"/>
      <c r="IY1502" s="74"/>
      <c r="IZ1502" s="74"/>
      <c r="JA1502" s="74"/>
    </row>
    <row r="1503" spans="1:261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Q1503" s="74"/>
      <c r="R1503" s="74"/>
      <c r="S1503" s="74"/>
      <c r="T1503" s="74"/>
      <c r="U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  <c r="IW1503" s="74"/>
      <c r="IX1503" s="74"/>
      <c r="IY1503" s="74"/>
      <c r="IZ1503" s="74"/>
      <c r="JA1503" s="74"/>
    </row>
    <row r="1504" spans="1:261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Q1504" s="74"/>
      <c r="R1504" s="74"/>
      <c r="S1504" s="74"/>
      <c r="T1504" s="74"/>
      <c r="U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  <c r="IW1504" s="74"/>
      <c r="IX1504" s="74"/>
      <c r="IY1504" s="74"/>
      <c r="IZ1504" s="74"/>
      <c r="JA1504" s="74"/>
    </row>
    <row r="1505" spans="1:261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Q1505" s="74"/>
      <c r="R1505" s="74"/>
      <c r="S1505" s="74"/>
      <c r="T1505" s="74"/>
      <c r="U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  <c r="IW1505" s="74"/>
      <c r="IX1505" s="74"/>
      <c r="IY1505" s="74"/>
      <c r="IZ1505" s="74"/>
      <c r="JA1505" s="74"/>
    </row>
    <row r="1506" spans="1:261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Q1506" s="74"/>
      <c r="R1506" s="74"/>
      <c r="S1506" s="74"/>
      <c r="T1506" s="74"/>
      <c r="U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  <c r="IW1506" s="74"/>
      <c r="IX1506" s="74"/>
      <c r="IY1506" s="74"/>
      <c r="IZ1506" s="74"/>
      <c r="JA1506" s="74"/>
    </row>
    <row r="1507" spans="1:261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Q1507" s="74"/>
      <c r="R1507" s="74"/>
      <c r="S1507" s="74"/>
      <c r="T1507" s="74"/>
      <c r="U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  <c r="IW1507" s="74"/>
      <c r="IX1507" s="74"/>
      <c r="IY1507" s="74"/>
      <c r="IZ1507" s="74"/>
      <c r="JA1507" s="74"/>
    </row>
    <row r="1508" spans="1:261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Q1508" s="74"/>
      <c r="R1508" s="74"/>
      <c r="S1508" s="74"/>
      <c r="T1508" s="74"/>
      <c r="U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  <c r="IW1508" s="74"/>
      <c r="IX1508" s="74"/>
      <c r="IY1508" s="74"/>
      <c r="IZ1508" s="74"/>
      <c r="JA1508" s="74"/>
    </row>
    <row r="1509" spans="1:261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Q1509" s="74"/>
      <c r="R1509" s="74"/>
      <c r="S1509" s="74"/>
      <c r="T1509" s="74"/>
      <c r="U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  <c r="IW1509" s="74"/>
      <c r="IX1509" s="74"/>
      <c r="IY1509" s="74"/>
      <c r="IZ1509" s="74"/>
      <c r="JA1509" s="74"/>
    </row>
    <row r="1510" spans="1:261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Q1510" s="74"/>
      <c r="R1510" s="74"/>
      <c r="S1510" s="74"/>
      <c r="T1510" s="74"/>
      <c r="U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  <c r="IW1510" s="74"/>
      <c r="IX1510" s="74"/>
      <c r="IY1510" s="74"/>
      <c r="IZ1510" s="74"/>
      <c r="JA1510" s="74"/>
    </row>
    <row r="1511" spans="1:261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Q1511" s="74"/>
      <c r="R1511" s="74"/>
      <c r="S1511" s="74"/>
      <c r="T1511" s="74"/>
      <c r="U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  <c r="IW1511" s="74"/>
      <c r="IX1511" s="74"/>
      <c r="IY1511" s="74"/>
      <c r="IZ1511" s="74"/>
      <c r="JA1511" s="74"/>
    </row>
    <row r="1512" spans="1:261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Q1512" s="74"/>
      <c r="R1512" s="74"/>
      <c r="S1512" s="74"/>
      <c r="T1512" s="74"/>
      <c r="U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  <c r="IW1512" s="74"/>
      <c r="IX1512" s="74"/>
      <c r="IY1512" s="74"/>
      <c r="IZ1512" s="74"/>
      <c r="JA1512" s="74"/>
    </row>
    <row r="1513" spans="1:261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Q1513" s="74"/>
      <c r="R1513" s="74"/>
      <c r="S1513" s="74"/>
      <c r="T1513" s="74"/>
      <c r="U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  <c r="IW1513" s="74"/>
      <c r="IX1513" s="74"/>
      <c r="IY1513" s="74"/>
      <c r="IZ1513" s="74"/>
      <c r="JA1513" s="74"/>
    </row>
    <row r="1514" spans="1:261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Q1514" s="74"/>
      <c r="R1514" s="74"/>
      <c r="S1514" s="74"/>
      <c r="T1514" s="74"/>
      <c r="U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  <c r="IW1514" s="74"/>
      <c r="IX1514" s="74"/>
      <c r="IY1514" s="74"/>
      <c r="IZ1514" s="74"/>
      <c r="JA1514" s="74"/>
    </row>
    <row r="1515" spans="1:261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Q1515" s="74"/>
      <c r="R1515" s="74"/>
      <c r="S1515" s="74"/>
      <c r="T1515" s="74"/>
      <c r="U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  <c r="IW1515" s="74"/>
      <c r="IX1515" s="74"/>
      <c r="IY1515" s="74"/>
      <c r="IZ1515" s="74"/>
      <c r="JA1515" s="74"/>
    </row>
    <row r="1516" spans="1:261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Q1516" s="74"/>
      <c r="R1516" s="74"/>
      <c r="S1516" s="74"/>
      <c r="T1516" s="74"/>
      <c r="U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  <c r="IW1516" s="74"/>
      <c r="IX1516" s="74"/>
      <c r="IY1516" s="74"/>
      <c r="IZ1516" s="74"/>
      <c r="JA1516" s="74"/>
    </row>
    <row r="1517" spans="1:261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Q1517" s="74"/>
      <c r="R1517" s="74"/>
      <c r="S1517" s="74"/>
      <c r="T1517" s="74"/>
      <c r="U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  <c r="IW1517" s="74"/>
      <c r="IX1517" s="74"/>
      <c r="IY1517" s="74"/>
      <c r="IZ1517" s="74"/>
      <c r="JA1517" s="74"/>
    </row>
    <row r="1518" spans="1:261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Q1518" s="74"/>
      <c r="R1518" s="74"/>
      <c r="S1518" s="74"/>
      <c r="T1518" s="74"/>
      <c r="U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  <c r="IW1518" s="74"/>
      <c r="IX1518" s="74"/>
      <c r="IY1518" s="74"/>
      <c r="IZ1518" s="74"/>
      <c r="JA1518" s="74"/>
    </row>
    <row r="1519" spans="1:261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Q1519" s="74"/>
      <c r="R1519" s="74"/>
      <c r="S1519" s="74"/>
      <c r="T1519" s="74"/>
      <c r="U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  <c r="IW1519" s="74"/>
      <c r="IX1519" s="74"/>
      <c r="IY1519" s="74"/>
      <c r="IZ1519" s="74"/>
      <c r="JA1519" s="74"/>
    </row>
    <row r="1520" spans="1:261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Q1520" s="74"/>
      <c r="R1520" s="74"/>
      <c r="S1520" s="74"/>
      <c r="T1520" s="74"/>
      <c r="U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  <c r="IW1520" s="74"/>
      <c r="IX1520" s="74"/>
      <c r="IY1520" s="74"/>
      <c r="IZ1520" s="74"/>
      <c r="JA1520" s="74"/>
    </row>
    <row r="1521" spans="1:261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Q1521" s="74"/>
      <c r="R1521" s="74"/>
      <c r="S1521" s="74"/>
      <c r="T1521" s="74"/>
      <c r="U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  <c r="IW1521" s="74"/>
      <c r="IX1521" s="74"/>
      <c r="IY1521" s="74"/>
      <c r="IZ1521" s="74"/>
      <c r="JA1521" s="74"/>
    </row>
    <row r="1522" spans="1:261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Q1522" s="74"/>
      <c r="R1522" s="74"/>
      <c r="S1522" s="74"/>
      <c r="T1522" s="74"/>
      <c r="U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  <c r="IW1522" s="74"/>
      <c r="IX1522" s="74"/>
      <c r="IY1522" s="74"/>
      <c r="IZ1522" s="74"/>
      <c r="JA1522" s="74"/>
    </row>
    <row r="1523" spans="1:261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Q1523" s="74"/>
      <c r="R1523" s="74"/>
      <c r="S1523" s="74"/>
      <c r="T1523" s="74"/>
      <c r="U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  <c r="IW1523" s="74"/>
      <c r="IX1523" s="74"/>
      <c r="IY1523" s="74"/>
      <c r="IZ1523" s="74"/>
      <c r="JA1523" s="74"/>
    </row>
    <row r="1524" spans="1:261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Q1524" s="74"/>
      <c r="R1524" s="74"/>
      <c r="S1524" s="74"/>
      <c r="T1524" s="74"/>
      <c r="U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  <c r="IW1524" s="74"/>
      <c r="IX1524" s="74"/>
      <c r="IY1524" s="74"/>
      <c r="IZ1524" s="74"/>
      <c r="JA1524" s="74"/>
    </row>
    <row r="1525" spans="1:261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Q1525" s="74"/>
      <c r="R1525" s="74"/>
      <c r="S1525" s="74"/>
      <c r="T1525" s="74"/>
      <c r="U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  <c r="IW1525" s="74"/>
      <c r="IX1525" s="74"/>
      <c r="IY1525" s="74"/>
      <c r="IZ1525" s="74"/>
      <c r="JA1525" s="74"/>
    </row>
    <row r="1526" spans="1:261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Q1526" s="74"/>
      <c r="R1526" s="74"/>
      <c r="S1526" s="74"/>
      <c r="T1526" s="74"/>
      <c r="U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  <c r="IW1526" s="74"/>
      <c r="IX1526" s="74"/>
      <c r="IY1526" s="74"/>
      <c r="IZ1526" s="74"/>
      <c r="JA1526" s="74"/>
    </row>
    <row r="1527" spans="1:261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Q1527" s="74"/>
      <c r="R1527" s="74"/>
      <c r="S1527" s="74"/>
      <c r="T1527" s="74"/>
      <c r="U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  <c r="IW1527" s="74"/>
      <c r="IX1527" s="74"/>
      <c r="IY1527" s="74"/>
      <c r="IZ1527" s="74"/>
      <c r="JA1527" s="74"/>
    </row>
    <row r="1528" spans="1:261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Q1528" s="74"/>
      <c r="R1528" s="74"/>
      <c r="S1528" s="74"/>
      <c r="T1528" s="74"/>
      <c r="U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  <c r="IW1528" s="74"/>
      <c r="IX1528" s="74"/>
      <c r="IY1528" s="74"/>
      <c r="IZ1528" s="74"/>
      <c r="JA1528" s="74"/>
    </row>
    <row r="1529" spans="1:261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Q1529" s="74"/>
      <c r="R1529" s="74"/>
      <c r="S1529" s="74"/>
      <c r="T1529" s="74"/>
      <c r="U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  <c r="IW1529" s="74"/>
      <c r="IX1529" s="74"/>
      <c r="IY1529" s="74"/>
      <c r="IZ1529" s="74"/>
      <c r="JA1529" s="74"/>
    </row>
    <row r="1530" spans="1:261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Q1530" s="74"/>
      <c r="R1530" s="74"/>
      <c r="S1530" s="74"/>
      <c r="T1530" s="74"/>
      <c r="U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  <c r="IW1530" s="74"/>
      <c r="IX1530" s="74"/>
      <c r="IY1530" s="74"/>
      <c r="IZ1530" s="74"/>
      <c r="JA1530" s="74"/>
    </row>
    <row r="1531" spans="1:261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  <c r="IW1531" s="74"/>
      <c r="IX1531" s="74"/>
      <c r="IY1531" s="74"/>
      <c r="IZ1531" s="74"/>
      <c r="JA1531" s="74"/>
    </row>
    <row r="1532" spans="1:261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  <c r="IW1532" s="74"/>
      <c r="IX1532" s="74"/>
      <c r="IY1532" s="74"/>
      <c r="IZ1532" s="74"/>
      <c r="JA1532" s="74"/>
    </row>
    <row r="1533" spans="1:261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Q1533" s="74"/>
      <c r="R1533" s="74"/>
      <c r="S1533" s="74"/>
      <c r="T1533" s="74"/>
      <c r="U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  <c r="IW1533" s="74"/>
      <c r="IX1533" s="74"/>
      <c r="IY1533" s="74"/>
      <c r="IZ1533" s="74"/>
      <c r="JA1533" s="74"/>
    </row>
    <row r="1534" spans="1:261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Q1534" s="74"/>
      <c r="R1534" s="74"/>
      <c r="S1534" s="74"/>
      <c r="T1534" s="74"/>
      <c r="U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  <c r="IW1534" s="74"/>
      <c r="IX1534" s="74"/>
      <c r="IY1534" s="74"/>
      <c r="IZ1534" s="74"/>
      <c r="JA1534" s="74"/>
    </row>
    <row r="1535" spans="1:261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4"/>
      <c r="S1535" s="74"/>
      <c r="T1535" s="74"/>
      <c r="U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  <c r="IW1535" s="74"/>
      <c r="IX1535" s="74"/>
      <c r="IY1535" s="74"/>
      <c r="IZ1535" s="74"/>
      <c r="JA1535" s="74"/>
    </row>
    <row r="1536" spans="1:261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Q1536" s="74"/>
      <c r="R1536" s="74"/>
      <c r="S1536" s="74"/>
      <c r="T1536" s="74"/>
      <c r="U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  <c r="IW1536" s="74"/>
      <c r="IX1536" s="74"/>
      <c r="IY1536" s="74"/>
      <c r="IZ1536" s="74"/>
      <c r="JA1536" s="74"/>
    </row>
    <row r="1537" spans="1:261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Q1537" s="74"/>
      <c r="R1537" s="74"/>
      <c r="S1537" s="74"/>
      <c r="T1537" s="74"/>
      <c r="U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  <c r="IW1537" s="74"/>
      <c r="IX1537" s="74"/>
      <c r="IY1537" s="74"/>
      <c r="IZ1537" s="74"/>
      <c r="JA1537" s="74"/>
    </row>
    <row r="1538" spans="1:261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Q1538" s="74"/>
      <c r="R1538" s="74"/>
      <c r="S1538" s="74"/>
      <c r="T1538" s="74"/>
      <c r="U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  <c r="IW1538" s="74"/>
      <c r="IX1538" s="74"/>
      <c r="IY1538" s="74"/>
      <c r="IZ1538" s="74"/>
      <c r="JA1538" s="74"/>
    </row>
    <row r="1539" spans="1:261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Q1539" s="74"/>
      <c r="R1539" s="74"/>
      <c r="S1539" s="74"/>
      <c r="T1539" s="74"/>
      <c r="U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  <c r="IW1539" s="74"/>
      <c r="IX1539" s="74"/>
      <c r="IY1539" s="74"/>
      <c r="IZ1539" s="74"/>
      <c r="JA1539" s="74"/>
    </row>
    <row r="1540" spans="1:261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Q1540" s="74"/>
      <c r="R1540" s="74"/>
      <c r="S1540" s="74"/>
      <c r="T1540" s="74"/>
      <c r="U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  <c r="IW1540" s="74"/>
      <c r="IX1540" s="74"/>
      <c r="IY1540" s="74"/>
      <c r="IZ1540" s="74"/>
      <c r="JA1540" s="74"/>
    </row>
    <row r="1541" spans="1:261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4"/>
      <c r="S1541" s="74"/>
      <c r="T1541" s="74"/>
      <c r="U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  <c r="IW1541" s="74"/>
      <c r="IX1541" s="74"/>
      <c r="IY1541" s="74"/>
      <c r="IZ1541" s="74"/>
      <c r="JA1541" s="74"/>
    </row>
    <row r="1542" spans="1:261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Q1542" s="74"/>
      <c r="R1542" s="74"/>
      <c r="S1542" s="74"/>
      <c r="T1542" s="74"/>
      <c r="U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  <c r="IW1542" s="74"/>
      <c r="IX1542" s="74"/>
      <c r="IY1542" s="74"/>
      <c r="IZ1542" s="74"/>
      <c r="JA1542" s="74"/>
    </row>
    <row r="1543" spans="1:261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Q1543" s="74"/>
      <c r="R1543" s="74"/>
      <c r="S1543" s="74"/>
      <c r="T1543" s="74"/>
      <c r="U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  <c r="IW1543" s="74"/>
      <c r="IX1543" s="74"/>
      <c r="IY1543" s="74"/>
      <c r="IZ1543" s="74"/>
      <c r="JA1543" s="74"/>
    </row>
    <row r="1544" spans="1:261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Q1544" s="74"/>
      <c r="R1544" s="74"/>
      <c r="S1544" s="74"/>
      <c r="T1544" s="74"/>
      <c r="U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  <c r="IW1544" s="74"/>
      <c r="IX1544" s="74"/>
      <c r="IY1544" s="74"/>
      <c r="IZ1544" s="74"/>
      <c r="JA1544" s="74"/>
    </row>
    <row r="1545" spans="1:261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Q1545" s="74"/>
      <c r="R1545" s="74"/>
      <c r="S1545" s="74"/>
      <c r="T1545" s="74"/>
      <c r="U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  <c r="IW1545" s="74"/>
      <c r="IX1545" s="74"/>
      <c r="IY1545" s="74"/>
      <c r="IZ1545" s="74"/>
      <c r="JA1545" s="74"/>
    </row>
    <row r="1546" spans="1:261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Q1546" s="74"/>
      <c r="R1546" s="74"/>
      <c r="S1546" s="74"/>
      <c r="T1546" s="74"/>
      <c r="U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  <c r="IW1546" s="74"/>
      <c r="IX1546" s="74"/>
      <c r="IY1546" s="74"/>
      <c r="IZ1546" s="74"/>
      <c r="JA1546" s="74"/>
    </row>
    <row r="1547" spans="1:261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Q1547" s="74"/>
      <c r="R1547" s="74"/>
      <c r="S1547" s="74"/>
      <c r="T1547" s="74"/>
      <c r="U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  <c r="IW1547" s="74"/>
      <c r="IX1547" s="74"/>
      <c r="IY1547" s="74"/>
      <c r="IZ1547" s="74"/>
      <c r="JA1547" s="74"/>
    </row>
    <row r="1548" spans="1:261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Q1548" s="74"/>
      <c r="R1548" s="74"/>
      <c r="S1548" s="74"/>
      <c r="T1548" s="74"/>
      <c r="U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  <c r="IW1548" s="74"/>
      <c r="IX1548" s="74"/>
      <c r="IY1548" s="74"/>
      <c r="IZ1548" s="74"/>
      <c r="JA1548" s="74"/>
    </row>
    <row r="1549" spans="1:261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Q1549" s="74"/>
      <c r="R1549" s="74"/>
      <c r="S1549" s="74"/>
      <c r="T1549" s="74"/>
      <c r="U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  <c r="IW1549" s="74"/>
      <c r="IX1549" s="74"/>
      <c r="IY1549" s="74"/>
      <c r="IZ1549" s="74"/>
      <c r="JA1549" s="74"/>
    </row>
    <row r="1550" spans="1:261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Q1550" s="74"/>
      <c r="R1550" s="74"/>
      <c r="S1550" s="74"/>
      <c r="T1550" s="74"/>
      <c r="U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  <c r="IW1550" s="74"/>
      <c r="IX1550" s="74"/>
      <c r="IY1550" s="74"/>
      <c r="IZ1550" s="74"/>
      <c r="JA1550" s="74"/>
    </row>
    <row r="1551" spans="1:261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Q1551" s="74"/>
      <c r="R1551" s="74"/>
      <c r="S1551" s="74"/>
      <c r="T1551" s="74"/>
      <c r="U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  <c r="IW1551" s="74"/>
      <c r="IX1551" s="74"/>
      <c r="IY1551" s="74"/>
      <c r="IZ1551" s="74"/>
      <c r="JA1551" s="74"/>
    </row>
    <row r="1552" spans="1:261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Q1552" s="74"/>
      <c r="R1552" s="74"/>
      <c r="S1552" s="74"/>
      <c r="T1552" s="74"/>
      <c r="U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  <c r="IW1552" s="74"/>
      <c r="IX1552" s="74"/>
      <c r="IY1552" s="74"/>
      <c r="IZ1552" s="74"/>
      <c r="JA1552" s="74"/>
    </row>
    <row r="1553" spans="1:261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Q1553" s="74"/>
      <c r="R1553" s="74"/>
      <c r="S1553" s="74"/>
      <c r="T1553" s="74"/>
      <c r="U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  <c r="IW1553" s="74"/>
      <c r="IX1553" s="74"/>
      <c r="IY1553" s="74"/>
      <c r="IZ1553" s="74"/>
      <c r="JA1553" s="74"/>
    </row>
    <row r="1554" spans="1:261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Q1554" s="74"/>
      <c r="R1554" s="74"/>
      <c r="S1554" s="74"/>
      <c r="T1554" s="74"/>
      <c r="U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  <c r="IW1554" s="74"/>
      <c r="IX1554" s="74"/>
      <c r="IY1554" s="74"/>
      <c r="IZ1554" s="74"/>
      <c r="JA1554" s="74"/>
    </row>
    <row r="1555" spans="1:261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Q1555" s="74"/>
      <c r="R1555" s="74"/>
      <c r="S1555" s="74"/>
      <c r="T1555" s="74"/>
      <c r="U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  <c r="IW1555" s="74"/>
      <c r="IX1555" s="74"/>
      <c r="IY1555" s="74"/>
      <c r="IZ1555" s="74"/>
      <c r="JA1555" s="74"/>
    </row>
    <row r="1556" spans="1:261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Q1556" s="74"/>
      <c r="R1556" s="74"/>
      <c r="S1556" s="74"/>
      <c r="T1556" s="74"/>
      <c r="U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  <c r="IW1556" s="74"/>
      <c r="IX1556" s="74"/>
      <c r="IY1556" s="74"/>
      <c r="IZ1556" s="74"/>
      <c r="JA1556" s="74"/>
    </row>
    <row r="1557" spans="1:261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Q1557" s="74"/>
      <c r="R1557" s="74"/>
      <c r="S1557" s="74"/>
      <c r="T1557" s="74"/>
      <c r="U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  <c r="IW1557" s="74"/>
      <c r="IX1557" s="74"/>
      <c r="IY1557" s="74"/>
      <c r="IZ1557" s="74"/>
      <c r="JA1557" s="74"/>
    </row>
    <row r="1558" spans="1:261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Q1558" s="74"/>
      <c r="R1558" s="74"/>
      <c r="S1558" s="74"/>
      <c r="T1558" s="74"/>
      <c r="U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  <c r="IW1558" s="74"/>
      <c r="IX1558" s="74"/>
      <c r="IY1558" s="74"/>
      <c r="IZ1558" s="74"/>
      <c r="JA1558" s="74"/>
    </row>
    <row r="1559" spans="1:261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Q1559" s="74"/>
      <c r="R1559" s="74"/>
      <c r="S1559" s="74"/>
      <c r="T1559" s="74"/>
      <c r="U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  <c r="IW1559" s="74"/>
      <c r="IX1559" s="74"/>
      <c r="IY1559" s="74"/>
      <c r="IZ1559" s="74"/>
      <c r="JA1559" s="74"/>
    </row>
    <row r="1560" spans="1:261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Q1560" s="74"/>
      <c r="R1560" s="74"/>
      <c r="S1560" s="74"/>
      <c r="T1560" s="74"/>
      <c r="U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  <c r="IW1560" s="74"/>
      <c r="IX1560" s="74"/>
      <c r="IY1560" s="74"/>
      <c r="IZ1560" s="74"/>
      <c r="JA1560" s="74"/>
    </row>
    <row r="1561" spans="1:261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Q1561" s="74"/>
      <c r="R1561" s="74"/>
      <c r="S1561" s="74"/>
      <c r="T1561" s="74"/>
      <c r="U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  <c r="IW1561" s="74"/>
      <c r="IX1561" s="74"/>
      <c r="IY1561" s="74"/>
      <c r="IZ1561" s="74"/>
      <c r="JA1561" s="74"/>
    </row>
    <row r="1562" spans="1:261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Q1562" s="74"/>
      <c r="R1562" s="74"/>
      <c r="S1562" s="74"/>
      <c r="T1562" s="74"/>
      <c r="U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  <c r="IW1562" s="74"/>
      <c r="IX1562" s="74"/>
      <c r="IY1562" s="74"/>
      <c r="IZ1562" s="74"/>
      <c r="JA1562" s="74"/>
    </row>
    <row r="1563" spans="1:261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Q1563" s="74"/>
      <c r="R1563" s="74"/>
      <c r="S1563" s="74"/>
      <c r="T1563" s="74"/>
      <c r="U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  <c r="IW1563" s="74"/>
      <c r="IX1563" s="74"/>
      <c r="IY1563" s="74"/>
      <c r="IZ1563" s="74"/>
      <c r="JA1563" s="74"/>
    </row>
    <row r="1564" spans="1:261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Q1564" s="74"/>
      <c r="R1564" s="74"/>
      <c r="S1564" s="74"/>
      <c r="T1564" s="74"/>
      <c r="U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  <c r="IW1564" s="74"/>
      <c r="IX1564" s="74"/>
      <c r="IY1564" s="74"/>
      <c r="IZ1564" s="74"/>
      <c r="JA1564" s="74"/>
    </row>
    <row r="1565" spans="1:261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Q1565" s="74"/>
      <c r="R1565" s="74"/>
      <c r="S1565" s="74"/>
      <c r="T1565" s="74"/>
      <c r="U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  <c r="IW1565" s="74"/>
      <c r="IX1565" s="74"/>
      <c r="IY1565" s="74"/>
      <c r="IZ1565" s="74"/>
      <c r="JA1565" s="74"/>
    </row>
    <row r="1566" spans="1:261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Q1566" s="74"/>
      <c r="R1566" s="74"/>
      <c r="S1566" s="74"/>
      <c r="T1566" s="74"/>
      <c r="U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  <c r="IW1566" s="74"/>
      <c r="IX1566" s="74"/>
      <c r="IY1566" s="74"/>
      <c r="IZ1566" s="74"/>
      <c r="JA1566" s="74"/>
    </row>
    <row r="1567" spans="1:261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Q1567" s="74"/>
      <c r="R1567" s="74"/>
      <c r="S1567" s="74"/>
      <c r="T1567" s="74"/>
      <c r="U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  <c r="IW1567" s="74"/>
      <c r="IX1567" s="74"/>
      <c r="IY1567" s="74"/>
      <c r="IZ1567" s="74"/>
      <c r="JA1567" s="74"/>
    </row>
    <row r="1568" spans="1:261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Q1568" s="74"/>
      <c r="R1568" s="74"/>
      <c r="S1568" s="74"/>
      <c r="T1568" s="74"/>
      <c r="U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  <c r="IW1568" s="74"/>
      <c r="IX1568" s="74"/>
      <c r="IY1568" s="74"/>
      <c r="IZ1568" s="74"/>
      <c r="JA1568" s="74"/>
    </row>
    <row r="1569" spans="1:261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Q1569" s="74"/>
      <c r="R1569" s="74"/>
      <c r="S1569" s="74"/>
      <c r="T1569" s="74"/>
      <c r="U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  <c r="IW1569" s="74"/>
      <c r="IX1569" s="74"/>
      <c r="IY1569" s="74"/>
      <c r="IZ1569" s="74"/>
      <c r="JA1569" s="74"/>
    </row>
    <row r="1570" spans="1:261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Q1570" s="74"/>
      <c r="R1570" s="74"/>
      <c r="S1570" s="74"/>
      <c r="T1570" s="74"/>
      <c r="U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  <c r="IW1570" s="74"/>
      <c r="IX1570" s="74"/>
      <c r="IY1570" s="74"/>
      <c r="IZ1570" s="74"/>
      <c r="JA1570" s="74"/>
    </row>
    <row r="1571" spans="1:261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Q1571" s="74"/>
      <c r="R1571" s="74"/>
      <c r="S1571" s="74"/>
      <c r="T1571" s="74"/>
      <c r="U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  <c r="IW1571" s="74"/>
      <c r="IX1571" s="74"/>
      <c r="IY1571" s="74"/>
      <c r="IZ1571" s="74"/>
      <c r="JA1571" s="74"/>
    </row>
    <row r="1572" spans="1:261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Q1572" s="74"/>
      <c r="R1572" s="74"/>
      <c r="S1572" s="74"/>
      <c r="T1572" s="74"/>
      <c r="U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  <c r="IW1572" s="74"/>
      <c r="IX1572" s="74"/>
      <c r="IY1572" s="74"/>
      <c r="IZ1572" s="74"/>
      <c r="JA1572" s="74"/>
    </row>
    <row r="1573" spans="1:261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Q1573" s="74"/>
      <c r="R1573" s="74"/>
      <c r="S1573" s="74"/>
      <c r="T1573" s="74"/>
      <c r="U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  <c r="IW1573" s="74"/>
      <c r="IX1573" s="74"/>
      <c r="IY1573" s="74"/>
      <c r="IZ1573" s="74"/>
      <c r="JA1573" s="74"/>
    </row>
    <row r="1574" spans="1:261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  <c r="U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  <c r="IW1574" s="74"/>
      <c r="IX1574" s="74"/>
      <c r="IY1574" s="74"/>
      <c r="IZ1574" s="74"/>
      <c r="JA1574" s="74"/>
    </row>
    <row r="1575" spans="1:261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4"/>
      <c r="S1575" s="74"/>
      <c r="T1575" s="74"/>
      <c r="U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  <c r="IW1575" s="74"/>
      <c r="IX1575" s="74"/>
      <c r="IY1575" s="74"/>
      <c r="IZ1575" s="74"/>
      <c r="JA1575" s="74"/>
    </row>
    <row r="1576" spans="1:261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  <c r="IW1576" s="74"/>
      <c r="IX1576" s="74"/>
      <c r="IY1576" s="74"/>
      <c r="IZ1576" s="74"/>
      <c r="JA1576" s="74"/>
    </row>
    <row r="1577" spans="1:261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  <c r="IW1577" s="74"/>
      <c r="IX1577" s="74"/>
      <c r="IY1577" s="74"/>
      <c r="IZ1577" s="74"/>
      <c r="JA1577" s="74"/>
    </row>
    <row r="1578" spans="1:261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4"/>
      <c r="S1578" s="74"/>
      <c r="T1578" s="74"/>
      <c r="U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  <c r="IW1578" s="74"/>
      <c r="IX1578" s="74"/>
      <c r="IY1578" s="74"/>
      <c r="IZ1578" s="74"/>
      <c r="JA1578" s="74"/>
    </row>
    <row r="1579" spans="1:261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Q1579" s="74"/>
      <c r="R1579" s="74"/>
      <c r="S1579" s="74"/>
      <c r="T1579" s="74"/>
      <c r="U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  <c r="IW1579" s="74"/>
      <c r="IX1579" s="74"/>
      <c r="IY1579" s="74"/>
      <c r="IZ1579" s="74"/>
      <c r="JA1579" s="74"/>
    </row>
    <row r="1580" spans="1:261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Q1580" s="74"/>
      <c r="R1580" s="74"/>
      <c r="S1580" s="74"/>
      <c r="T1580" s="74"/>
      <c r="U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  <c r="IW1580" s="74"/>
      <c r="IX1580" s="74"/>
      <c r="IY1580" s="74"/>
      <c r="IZ1580" s="74"/>
      <c r="JA1580" s="74"/>
    </row>
    <row r="1581" spans="1:261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Q1581" s="74"/>
      <c r="R1581" s="74"/>
      <c r="S1581" s="74"/>
      <c r="T1581" s="74"/>
      <c r="U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  <c r="IW1581" s="74"/>
      <c r="IX1581" s="74"/>
      <c r="IY1581" s="74"/>
      <c r="IZ1581" s="74"/>
      <c r="JA1581" s="74"/>
    </row>
    <row r="1582" spans="1:261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Q1582" s="74"/>
      <c r="R1582" s="74"/>
      <c r="S1582" s="74"/>
      <c r="T1582" s="74"/>
      <c r="U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  <c r="IW1582" s="74"/>
      <c r="IX1582" s="74"/>
      <c r="IY1582" s="74"/>
      <c r="IZ1582" s="74"/>
      <c r="JA1582" s="74"/>
    </row>
    <row r="1583" spans="1:261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4"/>
      <c r="S1583" s="74"/>
      <c r="T1583" s="74"/>
      <c r="U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  <c r="IW1583" s="74"/>
      <c r="IX1583" s="74"/>
      <c r="IY1583" s="74"/>
      <c r="IZ1583" s="74"/>
      <c r="JA1583" s="74"/>
    </row>
    <row r="1584" spans="1:261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Q1584" s="74"/>
      <c r="R1584" s="74"/>
      <c r="S1584" s="74"/>
      <c r="T1584" s="74"/>
      <c r="U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  <c r="IW1584" s="74"/>
      <c r="IX1584" s="74"/>
      <c r="IY1584" s="74"/>
      <c r="IZ1584" s="74"/>
      <c r="JA1584" s="74"/>
    </row>
    <row r="1585" spans="1:261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Q1585" s="74"/>
      <c r="R1585" s="74"/>
      <c r="S1585" s="74"/>
      <c r="T1585" s="74"/>
      <c r="U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  <c r="IW1585" s="74"/>
      <c r="IX1585" s="74"/>
      <c r="IY1585" s="74"/>
      <c r="IZ1585" s="74"/>
      <c r="JA1585" s="74"/>
    </row>
    <row r="1586" spans="1:261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Q1586" s="74"/>
      <c r="R1586" s="74"/>
      <c r="S1586" s="74"/>
      <c r="T1586" s="74"/>
      <c r="U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  <c r="IW1586" s="74"/>
      <c r="IX1586" s="74"/>
      <c r="IY1586" s="74"/>
      <c r="IZ1586" s="74"/>
      <c r="JA1586" s="74"/>
    </row>
    <row r="1587" spans="1:261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Q1587" s="74"/>
      <c r="R1587" s="74"/>
      <c r="S1587" s="74"/>
      <c r="T1587" s="74"/>
      <c r="U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  <c r="IW1587" s="74"/>
      <c r="IX1587" s="74"/>
      <c r="IY1587" s="74"/>
      <c r="IZ1587" s="74"/>
      <c r="JA1587" s="74"/>
    </row>
    <row r="1588" spans="1:261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Q1588" s="74"/>
      <c r="R1588" s="74"/>
      <c r="S1588" s="74"/>
      <c r="T1588" s="74"/>
      <c r="U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  <c r="IW1588" s="74"/>
      <c r="IX1588" s="74"/>
      <c r="IY1588" s="74"/>
      <c r="IZ1588" s="74"/>
      <c r="JA1588" s="74"/>
    </row>
    <row r="1589" spans="1:261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Q1589" s="74"/>
      <c r="R1589" s="74"/>
      <c r="S1589" s="74"/>
      <c r="T1589" s="74"/>
      <c r="U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  <c r="IW1589" s="74"/>
      <c r="IX1589" s="74"/>
      <c r="IY1589" s="74"/>
      <c r="IZ1589" s="74"/>
      <c r="JA1589" s="74"/>
    </row>
    <row r="1590" spans="1:261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Q1590" s="74"/>
      <c r="R1590" s="74"/>
      <c r="S1590" s="74"/>
      <c r="T1590" s="74"/>
      <c r="U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  <c r="IW1590" s="74"/>
      <c r="IX1590" s="74"/>
      <c r="IY1590" s="74"/>
      <c r="IZ1590" s="74"/>
      <c r="JA1590" s="74"/>
    </row>
    <row r="1591" spans="1:261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Q1591" s="74"/>
      <c r="R1591" s="74"/>
      <c r="S1591" s="74"/>
      <c r="T1591" s="74"/>
      <c r="U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  <c r="IW1591" s="74"/>
      <c r="IX1591" s="74"/>
      <c r="IY1591" s="74"/>
      <c r="IZ1591" s="74"/>
      <c r="JA1591" s="74"/>
    </row>
    <row r="1592" spans="1:261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Q1592" s="74"/>
      <c r="R1592" s="74"/>
      <c r="S1592" s="74"/>
      <c r="T1592" s="74"/>
      <c r="U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  <c r="IW1592" s="74"/>
      <c r="IX1592" s="74"/>
      <c r="IY1592" s="74"/>
      <c r="IZ1592" s="74"/>
      <c r="JA1592" s="74"/>
    </row>
    <row r="1593" spans="1:261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Q1593" s="74"/>
      <c r="R1593" s="74"/>
      <c r="S1593" s="74"/>
      <c r="T1593" s="74"/>
      <c r="U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  <c r="IW1593" s="74"/>
      <c r="IX1593" s="74"/>
      <c r="IY1593" s="74"/>
      <c r="IZ1593" s="74"/>
      <c r="JA1593" s="74"/>
    </row>
    <row r="1594" spans="1:261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Q1594" s="74"/>
      <c r="R1594" s="74"/>
      <c r="S1594" s="74"/>
      <c r="T1594" s="74"/>
      <c r="U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  <c r="IW1594" s="74"/>
      <c r="IX1594" s="74"/>
      <c r="IY1594" s="74"/>
      <c r="IZ1594" s="74"/>
      <c r="JA1594" s="74"/>
    </row>
    <row r="1595" spans="1:261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Q1595" s="74"/>
      <c r="R1595" s="74"/>
      <c r="S1595" s="74"/>
      <c r="T1595" s="74"/>
      <c r="U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  <c r="IW1595" s="74"/>
      <c r="IX1595" s="74"/>
      <c r="IY1595" s="74"/>
      <c r="IZ1595" s="74"/>
      <c r="JA1595" s="74"/>
    </row>
    <row r="1596" spans="1:261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Q1596" s="74"/>
      <c r="R1596" s="74"/>
      <c r="S1596" s="74"/>
      <c r="T1596" s="74"/>
      <c r="U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  <c r="IW1596" s="74"/>
      <c r="IX1596" s="74"/>
      <c r="IY1596" s="74"/>
      <c r="IZ1596" s="74"/>
      <c r="JA1596" s="74"/>
    </row>
    <row r="1597" spans="1:261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Q1597" s="74"/>
      <c r="R1597" s="74"/>
      <c r="S1597" s="74"/>
      <c r="T1597" s="74"/>
      <c r="U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  <c r="IW1597" s="74"/>
      <c r="IX1597" s="74"/>
      <c r="IY1597" s="74"/>
      <c r="IZ1597" s="74"/>
      <c r="JA1597" s="74"/>
    </row>
    <row r="1598" spans="1:261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Q1598" s="74"/>
      <c r="R1598" s="74"/>
      <c r="S1598" s="74"/>
      <c r="T1598" s="74"/>
      <c r="U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  <c r="IW1598" s="74"/>
      <c r="IX1598" s="74"/>
      <c r="IY1598" s="74"/>
      <c r="IZ1598" s="74"/>
      <c r="JA1598" s="74"/>
    </row>
    <row r="1599" spans="1:261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Q1599" s="74"/>
      <c r="R1599" s="74"/>
      <c r="S1599" s="74"/>
      <c r="T1599" s="74"/>
      <c r="U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  <c r="IW1599" s="74"/>
      <c r="IX1599" s="74"/>
      <c r="IY1599" s="74"/>
      <c r="IZ1599" s="74"/>
      <c r="JA1599" s="74"/>
    </row>
    <row r="1600" spans="1:261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Q1600" s="74"/>
      <c r="R1600" s="74"/>
      <c r="S1600" s="74"/>
      <c r="T1600" s="74"/>
      <c r="U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  <c r="IW1600" s="74"/>
      <c r="IX1600" s="74"/>
      <c r="IY1600" s="74"/>
      <c r="IZ1600" s="74"/>
      <c r="JA1600" s="74"/>
    </row>
    <row r="1601" spans="1:261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Q1601" s="74"/>
      <c r="R1601" s="74"/>
      <c r="S1601" s="74"/>
      <c r="T1601" s="74"/>
      <c r="U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  <c r="IW1601" s="74"/>
      <c r="IX1601" s="74"/>
      <c r="IY1601" s="74"/>
      <c r="IZ1601" s="74"/>
      <c r="JA1601" s="74"/>
    </row>
    <row r="1602" spans="1:261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Q1602" s="74"/>
      <c r="R1602" s="74"/>
      <c r="S1602" s="74"/>
      <c r="T1602" s="74"/>
      <c r="U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  <c r="IW1602" s="74"/>
      <c r="IX1602" s="74"/>
      <c r="IY1602" s="74"/>
      <c r="IZ1602" s="74"/>
      <c r="JA1602" s="74"/>
    </row>
    <row r="1603" spans="1:261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Q1603" s="74"/>
      <c r="R1603" s="74"/>
      <c r="S1603" s="74"/>
      <c r="T1603" s="74"/>
      <c r="U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  <c r="IW1603" s="74"/>
      <c r="IX1603" s="74"/>
      <c r="IY1603" s="74"/>
      <c r="IZ1603" s="74"/>
      <c r="JA1603" s="74"/>
    </row>
    <row r="1604" spans="1:261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Q1604" s="74"/>
      <c r="R1604" s="74"/>
      <c r="S1604" s="74"/>
      <c r="T1604" s="74"/>
      <c r="U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  <c r="IW1604" s="74"/>
      <c r="IX1604" s="74"/>
      <c r="IY1604" s="74"/>
      <c r="IZ1604" s="74"/>
      <c r="JA1604" s="74"/>
    </row>
    <row r="1605" spans="1:261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Q1605" s="74"/>
      <c r="R1605" s="74"/>
      <c r="S1605" s="74"/>
      <c r="T1605" s="74"/>
      <c r="U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  <c r="IW1605" s="74"/>
      <c r="IX1605" s="74"/>
      <c r="IY1605" s="74"/>
      <c r="IZ1605" s="74"/>
      <c r="JA1605" s="74"/>
    </row>
    <row r="1606" spans="1:261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Q1606" s="74"/>
      <c r="R1606" s="74"/>
      <c r="S1606" s="74"/>
      <c r="T1606" s="74"/>
      <c r="U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  <c r="IW1606" s="74"/>
      <c r="IX1606" s="74"/>
      <c r="IY1606" s="74"/>
      <c r="IZ1606" s="74"/>
      <c r="JA1606" s="74"/>
    </row>
    <row r="1607" spans="1:261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Q1607" s="74"/>
      <c r="R1607" s="74"/>
      <c r="S1607" s="74"/>
      <c r="T1607" s="74"/>
      <c r="U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  <c r="IW1607" s="74"/>
      <c r="IX1607" s="74"/>
      <c r="IY1607" s="74"/>
      <c r="IZ1607" s="74"/>
      <c r="JA1607" s="74"/>
    </row>
    <row r="1608" spans="1:261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Q1608" s="74"/>
      <c r="R1608" s="74"/>
      <c r="S1608" s="74"/>
      <c r="T1608" s="74"/>
      <c r="U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  <c r="IW1608" s="74"/>
      <c r="IX1608" s="74"/>
      <c r="IY1608" s="74"/>
      <c r="IZ1608" s="74"/>
      <c r="JA1608" s="74"/>
    </row>
    <row r="1609" spans="1:261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Q1609" s="74"/>
      <c r="R1609" s="74"/>
      <c r="S1609" s="74"/>
      <c r="T1609" s="74"/>
      <c r="U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  <c r="IW1609" s="74"/>
      <c r="IX1609" s="74"/>
      <c r="IY1609" s="74"/>
      <c r="IZ1609" s="74"/>
      <c r="JA1609" s="74"/>
    </row>
    <row r="1610" spans="1:261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Q1610" s="74"/>
      <c r="R1610" s="74"/>
      <c r="S1610" s="74"/>
      <c r="T1610" s="74"/>
      <c r="U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  <c r="IW1610" s="74"/>
      <c r="IX1610" s="74"/>
      <c r="IY1610" s="74"/>
      <c r="IZ1610" s="74"/>
      <c r="JA1610" s="74"/>
    </row>
    <row r="1611" spans="1:261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Q1611" s="74"/>
      <c r="R1611" s="74"/>
      <c r="S1611" s="74"/>
      <c r="T1611" s="74"/>
      <c r="U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  <c r="IW1611" s="74"/>
      <c r="IX1611" s="74"/>
      <c r="IY1611" s="74"/>
      <c r="IZ1611" s="74"/>
      <c r="JA1611" s="74"/>
    </row>
    <row r="1612" spans="1:261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Q1612" s="74"/>
      <c r="R1612" s="74"/>
      <c r="S1612" s="74"/>
      <c r="T1612" s="74"/>
      <c r="U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  <c r="IW1612" s="74"/>
      <c r="IX1612" s="74"/>
      <c r="IY1612" s="74"/>
      <c r="IZ1612" s="74"/>
      <c r="JA1612" s="74"/>
    </row>
    <row r="1613" spans="1:261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Q1613" s="74"/>
      <c r="R1613" s="74"/>
      <c r="S1613" s="74"/>
      <c r="T1613" s="74"/>
      <c r="U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  <c r="IW1613" s="74"/>
      <c r="IX1613" s="74"/>
      <c r="IY1613" s="74"/>
      <c r="IZ1613" s="74"/>
      <c r="JA1613" s="74"/>
    </row>
    <row r="1614" spans="1:261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Q1614" s="74"/>
      <c r="R1614" s="74"/>
      <c r="S1614" s="74"/>
      <c r="T1614" s="74"/>
      <c r="U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  <c r="IW1614" s="74"/>
      <c r="IX1614" s="74"/>
      <c r="IY1614" s="74"/>
      <c r="IZ1614" s="74"/>
      <c r="JA1614" s="74"/>
    </row>
    <row r="1615" spans="1:261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Q1615" s="74"/>
      <c r="R1615" s="74"/>
      <c r="S1615" s="74"/>
      <c r="T1615" s="74"/>
      <c r="U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  <c r="IW1615" s="74"/>
      <c r="IX1615" s="74"/>
      <c r="IY1615" s="74"/>
      <c r="IZ1615" s="74"/>
      <c r="JA1615" s="74"/>
    </row>
    <row r="1616" spans="1:261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Q1616" s="74"/>
      <c r="R1616" s="74"/>
      <c r="S1616" s="74"/>
      <c r="T1616" s="74"/>
      <c r="U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  <c r="IW1616" s="74"/>
      <c r="IX1616" s="74"/>
      <c r="IY1616" s="74"/>
      <c r="IZ1616" s="74"/>
      <c r="JA1616" s="74"/>
    </row>
    <row r="1617" spans="1:261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Q1617" s="74"/>
      <c r="R1617" s="74"/>
      <c r="S1617" s="74"/>
      <c r="T1617" s="74"/>
      <c r="U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  <c r="IW1617" s="74"/>
      <c r="IX1617" s="74"/>
      <c r="IY1617" s="74"/>
      <c r="IZ1617" s="74"/>
      <c r="JA1617" s="74"/>
    </row>
    <row r="1618" spans="1:261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74"/>
      <c r="R1618" s="74"/>
      <c r="S1618" s="74"/>
      <c r="T1618" s="74"/>
      <c r="U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  <c r="IW1618" s="74"/>
      <c r="IX1618" s="74"/>
      <c r="IY1618" s="74"/>
      <c r="IZ1618" s="74"/>
      <c r="JA1618" s="74"/>
    </row>
    <row r="1619" spans="1:261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Q1619" s="74"/>
      <c r="R1619" s="74"/>
      <c r="S1619" s="74"/>
      <c r="T1619" s="74"/>
      <c r="U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  <c r="IW1619" s="74"/>
      <c r="IX1619" s="74"/>
      <c r="IY1619" s="74"/>
      <c r="IZ1619" s="74"/>
      <c r="JA1619" s="74"/>
    </row>
    <row r="1620" spans="1:261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Q1620" s="74"/>
      <c r="R1620" s="74"/>
      <c r="S1620" s="74"/>
      <c r="T1620" s="74"/>
      <c r="U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  <c r="IW1620" s="74"/>
      <c r="IX1620" s="74"/>
      <c r="IY1620" s="74"/>
      <c r="IZ1620" s="74"/>
      <c r="JA1620" s="74"/>
    </row>
    <row r="1621" spans="1:261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  <c r="U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  <c r="IW1621" s="74"/>
      <c r="IX1621" s="74"/>
      <c r="IY1621" s="74"/>
      <c r="IZ1621" s="74"/>
      <c r="JA1621" s="74"/>
    </row>
    <row r="1622" spans="1:261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  <c r="U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  <c r="IW1622" s="74"/>
      <c r="IX1622" s="74"/>
      <c r="IY1622" s="74"/>
      <c r="IZ1622" s="74"/>
      <c r="JA1622" s="74"/>
    </row>
    <row r="1623" spans="1:261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Q1623" s="74"/>
      <c r="R1623" s="74"/>
      <c r="S1623" s="74"/>
      <c r="T1623" s="74"/>
      <c r="U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  <c r="IW1623" s="74"/>
      <c r="IX1623" s="74"/>
      <c r="IY1623" s="74"/>
      <c r="IZ1623" s="74"/>
      <c r="JA1623" s="74"/>
    </row>
    <row r="1624" spans="1:261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Q1624" s="74"/>
      <c r="R1624" s="74"/>
      <c r="S1624" s="74"/>
      <c r="T1624" s="74"/>
      <c r="U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  <c r="IW1624" s="74"/>
      <c r="IX1624" s="74"/>
      <c r="IY1624" s="74"/>
      <c r="IZ1624" s="74"/>
      <c r="JA1624" s="74"/>
    </row>
    <row r="1625" spans="1:261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Q1625" s="74"/>
      <c r="R1625" s="74"/>
      <c r="S1625" s="74"/>
      <c r="T1625" s="74"/>
      <c r="U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  <c r="IW1625" s="74"/>
      <c r="IX1625" s="74"/>
      <c r="IY1625" s="74"/>
      <c r="IZ1625" s="74"/>
      <c r="JA1625" s="74"/>
    </row>
    <row r="1626" spans="1:261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74"/>
      <c r="R1626" s="74"/>
      <c r="S1626" s="74"/>
      <c r="T1626" s="74"/>
      <c r="U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  <c r="IW1626" s="74"/>
      <c r="IX1626" s="74"/>
      <c r="IY1626" s="74"/>
      <c r="IZ1626" s="74"/>
      <c r="JA1626" s="74"/>
    </row>
    <row r="1627" spans="1:261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Q1627" s="74"/>
      <c r="R1627" s="74"/>
      <c r="S1627" s="74"/>
      <c r="T1627" s="74"/>
      <c r="U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  <c r="IW1627" s="74"/>
      <c r="IX1627" s="74"/>
      <c r="IY1627" s="74"/>
      <c r="IZ1627" s="74"/>
      <c r="JA1627" s="74"/>
    </row>
    <row r="1628" spans="1:261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Q1628" s="74"/>
      <c r="R1628" s="74"/>
      <c r="S1628" s="74"/>
      <c r="T1628" s="74"/>
      <c r="U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  <c r="IW1628" s="74"/>
      <c r="IX1628" s="74"/>
      <c r="IY1628" s="74"/>
      <c r="IZ1628" s="74"/>
      <c r="JA1628" s="74"/>
    </row>
    <row r="1629" spans="1:261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Q1629" s="74"/>
      <c r="R1629" s="74"/>
      <c r="S1629" s="74"/>
      <c r="T1629" s="74"/>
      <c r="U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  <c r="IW1629" s="74"/>
      <c r="IX1629" s="74"/>
      <c r="IY1629" s="74"/>
      <c r="IZ1629" s="74"/>
      <c r="JA1629" s="74"/>
    </row>
    <row r="1630" spans="1:261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Q1630" s="74"/>
      <c r="R1630" s="74"/>
      <c r="S1630" s="74"/>
      <c r="T1630" s="74"/>
      <c r="U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  <c r="IW1630" s="74"/>
      <c r="IX1630" s="74"/>
      <c r="IY1630" s="74"/>
      <c r="IZ1630" s="74"/>
      <c r="JA1630" s="74"/>
    </row>
    <row r="1631" spans="1:261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Q1631" s="74"/>
      <c r="R1631" s="74"/>
      <c r="S1631" s="74"/>
      <c r="T1631" s="74"/>
      <c r="U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  <c r="IW1631" s="74"/>
      <c r="IX1631" s="74"/>
      <c r="IY1631" s="74"/>
      <c r="IZ1631" s="74"/>
      <c r="JA1631" s="74"/>
    </row>
    <row r="1632" spans="1:261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Q1632" s="74"/>
      <c r="R1632" s="74"/>
      <c r="S1632" s="74"/>
      <c r="T1632" s="74"/>
      <c r="U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  <c r="IW1632" s="74"/>
      <c r="IX1632" s="74"/>
      <c r="IY1632" s="74"/>
      <c r="IZ1632" s="74"/>
      <c r="JA1632" s="74"/>
    </row>
    <row r="1633" spans="1:261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Q1633" s="74"/>
      <c r="R1633" s="74"/>
      <c r="S1633" s="74"/>
      <c r="T1633" s="74"/>
      <c r="U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  <c r="IW1633" s="74"/>
      <c r="IX1633" s="74"/>
      <c r="IY1633" s="74"/>
      <c r="IZ1633" s="74"/>
      <c r="JA1633" s="74"/>
    </row>
    <row r="1634" spans="1:261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Q1634" s="74"/>
      <c r="R1634" s="74"/>
      <c r="S1634" s="74"/>
      <c r="T1634" s="74"/>
      <c r="U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  <c r="IW1634" s="74"/>
      <c r="IX1634" s="74"/>
      <c r="IY1634" s="74"/>
      <c r="IZ1634" s="74"/>
      <c r="JA1634" s="74"/>
    </row>
    <row r="1635" spans="1:261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Q1635" s="74"/>
      <c r="R1635" s="74"/>
      <c r="S1635" s="74"/>
      <c r="T1635" s="74"/>
      <c r="U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  <c r="IW1635" s="74"/>
      <c r="IX1635" s="74"/>
      <c r="IY1635" s="74"/>
      <c r="IZ1635" s="74"/>
      <c r="JA1635" s="74"/>
    </row>
    <row r="1636" spans="1:261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Q1636" s="74"/>
      <c r="R1636" s="74"/>
      <c r="S1636" s="74"/>
      <c r="T1636" s="74"/>
      <c r="U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  <c r="IW1636" s="74"/>
      <c r="IX1636" s="74"/>
      <c r="IY1636" s="74"/>
      <c r="IZ1636" s="74"/>
      <c r="JA1636" s="74"/>
    </row>
    <row r="1637" spans="1:261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Q1637" s="74"/>
      <c r="R1637" s="74"/>
      <c r="S1637" s="74"/>
      <c r="T1637" s="74"/>
      <c r="U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  <c r="IW1637" s="74"/>
      <c r="IX1637" s="74"/>
      <c r="IY1637" s="74"/>
      <c r="IZ1637" s="74"/>
      <c r="JA1637" s="74"/>
    </row>
    <row r="1638" spans="1:261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Q1638" s="74"/>
      <c r="R1638" s="74"/>
      <c r="S1638" s="74"/>
      <c r="T1638" s="74"/>
      <c r="U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  <c r="IW1638" s="74"/>
      <c r="IX1638" s="74"/>
      <c r="IY1638" s="74"/>
      <c r="IZ1638" s="74"/>
      <c r="JA1638" s="74"/>
    </row>
    <row r="1639" spans="1:261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Q1639" s="74"/>
      <c r="R1639" s="74"/>
      <c r="S1639" s="74"/>
      <c r="T1639" s="74"/>
      <c r="U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  <c r="IW1639" s="74"/>
      <c r="IX1639" s="74"/>
      <c r="IY1639" s="74"/>
      <c r="IZ1639" s="74"/>
      <c r="JA1639" s="74"/>
    </row>
    <row r="1640" spans="1:261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Q1640" s="74"/>
      <c r="R1640" s="74"/>
      <c r="S1640" s="74"/>
      <c r="T1640" s="74"/>
      <c r="U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  <c r="IW1640" s="74"/>
      <c r="IX1640" s="74"/>
      <c r="IY1640" s="74"/>
      <c r="IZ1640" s="74"/>
      <c r="JA1640" s="74"/>
    </row>
    <row r="1641" spans="1:261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Q1641" s="74"/>
      <c r="R1641" s="74"/>
      <c r="S1641" s="74"/>
      <c r="T1641" s="74"/>
      <c r="U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  <c r="IW1641" s="74"/>
      <c r="IX1641" s="74"/>
      <c r="IY1641" s="74"/>
      <c r="IZ1641" s="74"/>
      <c r="JA1641" s="74"/>
    </row>
    <row r="1642" spans="1:261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Q1642" s="74"/>
      <c r="R1642" s="74"/>
      <c r="S1642" s="74"/>
      <c r="T1642" s="74"/>
      <c r="U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  <c r="IW1642" s="74"/>
      <c r="IX1642" s="74"/>
      <c r="IY1642" s="74"/>
      <c r="IZ1642" s="74"/>
      <c r="JA1642" s="74"/>
    </row>
    <row r="1643" spans="1:261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Q1643" s="74"/>
      <c r="R1643" s="74"/>
      <c r="S1643" s="74"/>
      <c r="T1643" s="74"/>
      <c r="U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  <c r="IW1643" s="74"/>
      <c r="IX1643" s="74"/>
      <c r="IY1643" s="74"/>
      <c r="IZ1643" s="74"/>
      <c r="JA1643" s="74"/>
    </row>
    <row r="1644" spans="1:261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Q1644" s="74"/>
      <c r="R1644" s="74"/>
      <c r="S1644" s="74"/>
      <c r="T1644" s="74"/>
      <c r="U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  <c r="IW1644" s="74"/>
      <c r="IX1644" s="74"/>
      <c r="IY1644" s="74"/>
      <c r="IZ1644" s="74"/>
      <c r="JA1644" s="74"/>
    </row>
    <row r="1645" spans="1:261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Q1645" s="74"/>
      <c r="R1645" s="74"/>
      <c r="S1645" s="74"/>
      <c r="T1645" s="74"/>
      <c r="U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  <c r="IW1645" s="74"/>
      <c r="IX1645" s="74"/>
      <c r="IY1645" s="74"/>
      <c r="IZ1645" s="74"/>
      <c r="JA1645" s="74"/>
    </row>
    <row r="1646" spans="1:261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Q1646" s="74"/>
      <c r="R1646" s="74"/>
      <c r="S1646" s="74"/>
      <c r="T1646" s="74"/>
      <c r="U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  <c r="IW1646" s="74"/>
      <c r="IX1646" s="74"/>
      <c r="IY1646" s="74"/>
      <c r="IZ1646" s="74"/>
      <c r="JA1646" s="74"/>
    </row>
    <row r="1647" spans="1:261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Q1647" s="74"/>
      <c r="R1647" s="74"/>
      <c r="S1647" s="74"/>
      <c r="T1647" s="74"/>
      <c r="U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  <c r="IW1647" s="74"/>
      <c r="IX1647" s="74"/>
      <c r="IY1647" s="74"/>
      <c r="IZ1647" s="74"/>
      <c r="JA1647" s="74"/>
    </row>
    <row r="1648" spans="1:261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Q1648" s="74"/>
      <c r="R1648" s="74"/>
      <c r="S1648" s="74"/>
      <c r="T1648" s="74"/>
      <c r="U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  <c r="IW1648" s="74"/>
      <c r="IX1648" s="74"/>
      <c r="IY1648" s="74"/>
      <c r="IZ1648" s="74"/>
      <c r="JA1648" s="74"/>
    </row>
    <row r="1649" spans="1:261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Q1649" s="74"/>
      <c r="R1649" s="74"/>
      <c r="S1649" s="74"/>
      <c r="T1649" s="74"/>
      <c r="U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  <c r="IW1649" s="74"/>
      <c r="IX1649" s="74"/>
      <c r="IY1649" s="74"/>
      <c r="IZ1649" s="74"/>
      <c r="JA1649" s="74"/>
    </row>
    <row r="1650" spans="1:261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Q1650" s="74"/>
      <c r="R1650" s="74"/>
      <c r="S1650" s="74"/>
      <c r="T1650" s="74"/>
      <c r="U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  <c r="IW1650" s="74"/>
      <c r="IX1650" s="74"/>
      <c r="IY1650" s="74"/>
      <c r="IZ1650" s="74"/>
      <c r="JA1650" s="74"/>
    </row>
    <row r="1651" spans="1:261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Q1651" s="74"/>
      <c r="R1651" s="74"/>
      <c r="S1651" s="74"/>
      <c r="T1651" s="74"/>
      <c r="U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  <c r="IW1651" s="74"/>
      <c r="IX1651" s="74"/>
      <c r="IY1651" s="74"/>
      <c r="IZ1651" s="74"/>
      <c r="JA1651" s="74"/>
    </row>
    <row r="1652" spans="1:261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Q1652" s="74"/>
      <c r="R1652" s="74"/>
      <c r="S1652" s="74"/>
      <c r="T1652" s="74"/>
      <c r="U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  <c r="IW1652" s="74"/>
      <c r="IX1652" s="74"/>
      <c r="IY1652" s="74"/>
      <c r="IZ1652" s="74"/>
      <c r="JA1652" s="74"/>
    </row>
    <row r="1653" spans="1:261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Q1653" s="74"/>
      <c r="R1653" s="74"/>
      <c r="S1653" s="74"/>
      <c r="T1653" s="74"/>
      <c r="U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  <c r="IW1653" s="74"/>
      <c r="IX1653" s="74"/>
      <c r="IY1653" s="74"/>
      <c r="IZ1653" s="74"/>
      <c r="JA1653" s="74"/>
    </row>
    <row r="1654" spans="1:261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Q1654" s="74"/>
      <c r="R1654" s="74"/>
      <c r="S1654" s="74"/>
      <c r="T1654" s="74"/>
      <c r="U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  <c r="IW1654" s="74"/>
      <c r="IX1654" s="74"/>
      <c r="IY1654" s="74"/>
      <c r="IZ1654" s="74"/>
      <c r="JA1654" s="74"/>
    </row>
    <row r="1655" spans="1:261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Q1655" s="74"/>
      <c r="R1655" s="74"/>
      <c r="S1655" s="74"/>
      <c r="T1655" s="74"/>
      <c r="U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  <c r="IW1655" s="74"/>
      <c r="IX1655" s="74"/>
      <c r="IY1655" s="74"/>
      <c r="IZ1655" s="74"/>
      <c r="JA1655" s="74"/>
    </row>
    <row r="1656" spans="1:261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Q1656" s="74"/>
      <c r="R1656" s="74"/>
      <c r="S1656" s="74"/>
      <c r="T1656" s="74"/>
      <c r="U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  <c r="IW1656" s="74"/>
      <c r="IX1656" s="74"/>
      <c r="IY1656" s="74"/>
      <c r="IZ1656" s="74"/>
      <c r="JA1656" s="74"/>
    </row>
    <row r="1657" spans="1:261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Q1657" s="74"/>
      <c r="R1657" s="74"/>
      <c r="S1657" s="74"/>
      <c r="T1657" s="74"/>
      <c r="U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  <c r="IW1657" s="74"/>
      <c r="IX1657" s="74"/>
      <c r="IY1657" s="74"/>
      <c r="IZ1657" s="74"/>
      <c r="JA1657" s="74"/>
    </row>
    <row r="1658" spans="1:261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Q1658" s="74"/>
      <c r="R1658" s="74"/>
      <c r="S1658" s="74"/>
      <c r="T1658" s="74"/>
      <c r="U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  <c r="IW1658" s="74"/>
      <c r="IX1658" s="74"/>
      <c r="IY1658" s="74"/>
      <c r="IZ1658" s="74"/>
      <c r="JA1658" s="74"/>
    </row>
    <row r="1659" spans="1:261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Q1659" s="74"/>
      <c r="R1659" s="74"/>
      <c r="S1659" s="74"/>
      <c r="T1659" s="74"/>
      <c r="U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  <c r="IW1659" s="74"/>
      <c r="IX1659" s="74"/>
      <c r="IY1659" s="74"/>
      <c r="IZ1659" s="74"/>
      <c r="JA1659" s="74"/>
    </row>
    <row r="1660" spans="1:261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Q1660" s="74"/>
      <c r="R1660" s="74"/>
      <c r="S1660" s="74"/>
      <c r="T1660" s="74"/>
      <c r="U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  <c r="IW1660" s="74"/>
      <c r="IX1660" s="74"/>
      <c r="IY1660" s="74"/>
      <c r="IZ1660" s="74"/>
      <c r="JA1660" s="74"/>
    </row>
    <row r="1661" spans="1:261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74"/>
      <c r="R1661" s="74"/>
      <c r="S1661" s="74"/>
      <c r="T1661" s="74"/>
      <c r="U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  <c r="IW1661" s="74"/>
      <c r="IX1661" s="74"/>
      <c r="IY1661" s="74"/>
      <c r="IZ1661" s="74"/>
      <c r="JA1661" s="74"/>
    </row>
    <row r="1662" spans="1:261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Q1662" s="74"/>
      <c r="R1662" s="74"/>
      <c r="S1662" s="74"/>
      <c r="T1662" s="74"/>
      <c r="U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  <c r="IW1662" s="74"/>
      <c r="IX1662" s="74"/>
      <c r="IY1662" s="74"/>
      <c r="IZ1662" s="74"/>
      <c r="JA1662" s="74"/>
    </row>
    <row r="1663" spans="1:261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Q1663" s="74"/>
      <c r="R1663" s="74"/>
      <c r="S1663" s="74"/>
      <c r="T1663" s="74"/>
      <c r="U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  <c r="IW1663" s="74"/>
      <c r="IX1663" s="74"/>
      <c r="IY1663" s="74"/>
      <c r="IZ1663" s="74"/>
      <c r="JA1663" s="74"/>
    </row>
    <row r="1664" spans="1:261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74"/>
      <c r="R1664" s="74"/>
      <c r="S1664" s="74"/>
      <c r="T1664" s="74"/>
      <c r="U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  <c r="IW1664" s="74"/>
      <c r="IX1664" s="74"/>
      <c r="IY1664" s="74"/>
      <c r="IZ1664" s="74"/>
      <c r="JA1664" s="74"/>
    </row>
    <row r="1665" spans="1:261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Q1665" s="74"/>
      <c r="R1665" s="74"/>
      <c r="S1665" s="74"/>
      <c r="T1665" s="74"/>
      <c r="U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  <c r="IW1665" s="74"/>
      <c r="IX1665" s="74"/>
      <c r="IY1665" s="74"/>
      <c r="IZ1665" s="74"/>
      <c r="JA1665" s="74"/>
    </row>
    <row r="1666" spans="1:261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  <c r="U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  <c r="IW1666" s="74"/>
      <c r="IX1666" s="74"/>
      <c r="IY1666" s="74"/>
      <c r="IZ1666" s="74"/>
      <c r="JA1666" s="74"/>
    </row>
    <row r="1667" spans="1:261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  <c r="U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  <c r="IW1667" s="74"/>
      <c r="IX1667" s="74"/>
      <c r="IY1667" s="74"/>
      <c r="IZ1667" s="74"/>
      <c r="JA1667" s="74"/>
    </row>
    <row r="1668" spans="1:261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Q1668" s="74"/>
      <c r="R1668" s="74"/>
      <c r="S1668" s="74"/>
      <c r="T1668" s="74"/>
      <c r="U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  <c r="IW1668" s="74"/>
      <c r="IX1668" s="74"/>
      <c r="IY1668" s="74"/>
      <c r="IZ1668" s="74"/>
      <c r="JA1668" s="74"/>
    </row>
    <row r="1669" spans="1:261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74"/>
      <c r="R1669" s="74"/>
      <c r="S1669" s="74"/>
      <c r="T1669" s="74"/>
      <c r="U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  <c r="IW1669" s="74"/>
      <c r="IX1669" s="74"/>
      <c r="IY1669" s="74"/>
      <c r="IZ1669" s="74"/>
      <c r="JA1669" s="74"/>
    </row>
    <row r="1670" spans="1:261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Q1670" s="74"/>
      <c r="R1670" s="74"/>
      <c r="S1670" s="74"/>
      <c r="T1670" s="74"/>
      <c r="U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  <c r="IW1670" s="74"/>
      <c r="IX1670" s="74"/>
      <c r="IY1670" s="74"/>
      <c r="IZ1670" s="74"/>
      <c r="JA1670" s="74"/>
    </row>
    <row r="1671" spans="1:261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Q1671" s="74"/>
      <c r="R1671" s="74"/>
      <c r="S1671" s="74"/>
      <c r="T1671" s="74"/>
      <c r="U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  <c r="IW1671" s="74"/>
      <c r="IX1671" s="74"/>
      <c r="IY1671" s="74"/>
      <c r="IZ1671" s="74"/>
      <c r="JA1671" s="74"/>
    </row>
    <row r="1672" spans="1:261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Q1672" s="74"/>
      <c r="R1672" s="74"/>
      <c r="S1672" s="74"/>
      <c r="T1672" s="74"/>
      <c r="U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  <c r="IW1672" s="74"/>
      <c r="IX1672" s="74"/>
      <c r="IY1672" s="74"/>
      <c r="IZ1672" s="74"/>
      <c r="JA1672" s="74"/>
    </row>
    <row r="1673" spans="1:261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Q1673" s="74"/>
      <c r="R1673" s="74"/>
      <c r="S1673" s="74"/>
      <c r="T1673" s="74"/>
      <c r="U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  <c r="IW1673" s="74"/>
      <c r="IX1673" s="74"/>
      <c r="IY1673" s="74"/>
      <c r="IZ1673" s="74"/>
      <c r="JA1673" s="74"/>
    </row>
    <row r="1674" spans="1:261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Q1674" s="74"/>
      <c r="R1674" s="74"/>
      <c r="S1674" s="74"/>
      <c r="T1674" s="74"/>
      <c r="U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  <c r="IW1674" s="74"/>
      <c r="IX1674" s="74"/>
      <c r="IY1674" s="74"/>
      <c r="IZ1674" s="74"/>
      <c r="JA1674" s="74"/>
    </row>
    <row r="1675" spans="1:261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Q1675" s="74"/>
      <c r="R1675" s="74"/>
      <c r="S1675" s="74"/>
      <c r="T1675" s="74"/>
      <c r="U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  <c r="IW1675" s="74"/>
      <c r="IX1675" s="74"/>
      <c r="IY1675" s="74"/>
      <c r="IZ1675" s="74"/>
      <c r="JA1675" s="74"/>
    </row>
    <row r="1676" spans="1:261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Q1676" s="74"/>
      <c r="R1676" s="74"/>
      <c r="S1676" s="74"/>
      <c r="T1676" s="74"/>
      <c r="U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  <c r="IW1676" s="74"/>
      <c r="IX1676" s="74"/>
      <c r="IY1676" s="74"/>
      <c r="IZ1676" s="74"/>
      <c r="JA1676" s="74"/>
    </row>
    <row r="1677" spans="1:261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Q1677" s="74"/>
      <c r="R1677" s="74"/>
      <c r="S1677" s="74"/>
      <c r="T1677" s="74"/>
      <c r="U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  <c r="IW1677" s="74"/>
      <c r="IX1677" s="74"/>
      <c r="IY1677" s="74"/>
      <c r="IZ1677" s="74"/>
      <c r="JA1677" s="74"/>
    </row>
    <row r="1678" spans="1:261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Q1678" s="74"/>
      <c r="R1678" s="74"/>
      <c r="S1678" s="74"/>
      <c r="T1678" s="74"/>
      <c r="U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  <c r="IW1678" s="74"/>
      <c r="IX1678" s="74"/>
      <c r="IY1678" s="74"/>
      <c r="IZ1678" s="74"/>
      <c r="JA1678" s="74"/>
    </row>
    <row r="1679" spans="1:261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Q1679" s="74"/>
      <c r="R1679" s="74"/>
      <c r="S1679" s="74"/>
      <c r="T1679" s="74"/>
      <c r="U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  <c r="IW1679" s="74"/>
      <c r="IX1679" s="74"/>
      <c r="IY1679" s="74"/>
      <c r="IZ1679" s="74"/>
      <c r="JA1679" s="74"/>
    </row>
    <row r="1680" spans="1:261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Q1680" s="74"/>
      <c r="R1680" s="74"/>
      <c r="S1680" s="74"/>
      <c r="T1680" s="74"/>
      <c r="U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  <c r="IW1680" s="74"/>
      <c r="IX1680" s="74"/>
      <c r="IY1680" s="74"/>
      <c r="IZ1680" s="74"/>
      <c r="JA1680" s="74"/>
    </row>
    <row r="1681" spans="1:261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Q1681" s="74"/>
      <c r="R1681" s="74"/>
      <c r="S1681" s="74"/>
      <c r="T1681" s="74"/>
      <c r="U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  <c r="IW1681" s="74"/>
      <c r="IX1681" s="74"/>
      <c r="IY1681" s="74"/>
      <c r="IZ1681" s="74"/>
      <c r="JA1681" s="74"/>
    </row>
    <row r="1682" spans="1:261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Q1682" s="74"/>
      <c r="R1682" s="74"/>
      <c r="S1682" s="74"/>
      <c r="T1682" s="74"/>
      <c r="U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  <c r="IW1682" s="74"/>
      <c r="IX1682" s="74"/>
      <c r="IY1682" s="74"/>
      <c r="IZ1682" s="74"/>
      <c r="JA1682" s="74"/>
    </row>
    <row r="1683" spans="1:261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Q1683" s="74"/>
      <c r="R1683" s="74"/>
      <c r="S1683" s="74"/>
      <c r="T1683" s="74"/>
      <c r="U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  <c r="IW1683" s="74"/>
      <c r="IX1683" s="74"/>
      <c r="IY1683" s="74"/>
      <c r="IZ1683" s="74"/>
      <c r="JA1683" s="74"/>
    </row>
    <row r="1684" spans="1:261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Q1684" s="74"/>
      <c r="R1684" s="74"/>
      <c r="S1684" s="74"/>
      <c r="T1684" s="74"/>
      <c r="U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  <c r="IW1684" s="74"/>
      <c r="IX1684" s="74"/>
      <c r="IY1684" s="74"/>
      <c r="IZ1684" s="74"/>
      <c r="JA1684" s="74"/>
    </row>
    <row r="1685" spans="1:261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Q1685" s="74"/>
      <c r="R1685" s="74"/>
      <c r="S1685" s="74"/>
      <c r="T1685" s="74"/>
      <c r="U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  <c r="IW1685" s="74"/>
      <c r="IX1685" s="74"/>
      <c r="IY1685" s="74"/>
      <c r="IZ1685" s="74"/>
      <c r="JA1685" s="74"/>
    </row>
    <row r="1686" spans="1:261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Q1686" s="74"/>
      <c r="R1686" s="74"/>
      <c r="S1686" s="74"/>
      <c r="T1686" s="74"/>
      <c r="U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  <c r="IW1686" s="74"/>
      <c r="IX1686" s="74"/>
      <c r="IY1686" s="74"/>
      <c r="IZ1686" s="74"/>
      <c r="JA1686" s="74"/>
    </row>
    <row r="1687" spans="1:261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Q1687" s="74"/>
      <c r="R1687" s="74"/>
      <c r="S1687" s="74"/>
      <c r="T1687" s="74"/>
      <c r="U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  <c r="IW1687" s="74"/>
      <c r="IX1687" s="74"/>
      <c r="IY1687" s="74"/>
      <c r="IZ1687" s="74"/>
      <c r="JA1687" s="74"/>
    </row>
    <row r="1688" spans="1:261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Q1688" s="74"/>
      <c r="R1688" s="74"/>
      <c r="S1688" s="74"/>
      <c r="T1688" s="74"/>
      <c r="U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  <c r="IW1688" s="74"/>
      <c r="IX1688" s="74"/>
      <c r="IY1688" s="74"/>
      <c r="IZ1688" s="74"/>
      <c r="JA1688" s="74"/>
    </row>
    <row r="1689" spans="1:261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Q1689" s="74"/>
      <c r="R1689" s="74"/>
      <c r="S1689" s="74"/>
      <c r="T1689" s="74"/>
      <c r="U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  <c r="IW1689" s="74"/>
      <c r="IX1689" s="74"/>
      <c r="IY1689" s="74"/>
      <c r="IZ1689" s="74"/>
      <c r="JA1689" s="74"/>
    </row>
    <row r="1690" spans="1:261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Q1690" s="74"/>
      <c r="R1690" s="74"/>
      <c r="S1690" s="74"/>
      <c r="T1690" s="74"/>
      <c r="U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  <c r="IW1690" s="74"/>
      <c r="IX1690" s="74"/>
      <c r="IY1690" s="74"/>
      <c r="IZ1690" s="74"/>
      <c r="JA1690" s="74"/>
    </row>
    <row r="1691" spans="1:261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Q1691" s="74"/>
      <c r="R1691" s="74"/>
      <c r="S1691" s="74"/>
      <c r="T1691" s="74"/>
      <c r="U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  <c r="IW1691" s="74"/>
      <c r="IX1691" s="74"/>
      <c r="IY1691" s="74"/>
      <c r="IZ1691" s="74"/>
      <c r="JA1691" s="74"/>
    </row>
    <row r="1692" spans="1:261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Q1692" s="74"/>
      <c r="R1692" s="74"/>
      <c r="S1692" s="74"/>
      <c r="T1692" s="74"/>
      <c r="U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  <c r="IW1692" s="74"/>
      <c r="IX1692" s="74"/>
      <c r="IY1692" s="74"/>
      <c r="IZ1692" s="74"/>
      <c r="JA1692" s="74"/>
    </row>
    <row r="1693" spans="1:261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Q1693" s="74"/>
      <c r="R1693" s="74"/>
      <c r="S1693" s="74"/>
      <c r="T1693" s="74"/>
      <c r="U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  <c r="IW1693" s="74"/>
      <c r="IX1693" s="74"/>
      <c r="IY1693" s="74"/>
      <c r="IZ1693" s="74"/>
      <c r="JA1693" s="74"/>
    </row>
    <row r="1694" spans="1:261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Q1694" s="74"/>
      <c r="R1694" s="74"/>
      <c r="S1694" s="74"/>
      <c r="T1694" s="74"/>
      <c r="U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  <c r="IW1694" s="74"/>
      <c r="IX1694" s="74"/>
      <c r="IY1694" s="74"/>
      <c r="IZ1694" s="74"/>
      <c r="JA1694" s="74"/>
    </row>
    <row r="1695" spans="1:261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Q1695" s="74"/>
      <c r="R1695" s="74"/>
      <c r="S1695" s="74"/>
      <c r="T1695" s="74"/>
      <c r="U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  <c r="IW1695" s="74"/>
      <c r="IX1695" s="74"/>
      <c r="IY1695" s="74"/>
      <c r="IZ1695" s="74"/>
      <c r="JA1695" s="74"/>
    </row>
    <row r="1696" spans="1:261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Q1696" s="74"/>
      <c r="R1696" s="74"/>
      <c r="S1696" s="74"/>
      <c r="T1696" s="74"/>
      <c r="U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  <c r="IW1696" s="74"/>
      <c r="IX1696" s="74"/>
      <c r="IY1696" s="74"/>
      <c r="IZ1696" s="74"/>
      <c r="JA1696" s="74"/>
    </row>
    <row r="1697" spans="1:261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Q1697" s="74"/>
      <c r="R1697" s="74"/>
      <c r="S1697" s="74"/>
      <c r="T1697" s="74"/>
      <c r="U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  <c r="IW1697" s="74"/>
      <c r="IX1697" s="74"/>
      <c r="IY1697" s="74"/>
      <c r="IZ1697" s="74"/>
      <c r="JA1697" s="74"/>
    </row>
    <row r="1698" spans="1:261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Q1698" s="74"/>
      <c r="R1698" s="74"/>
      <c r="S1698" s="74"/>
      <c r="T1698" s="74"/>
      <c r="U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  <c r="IW1698" s="74"/>
      <c r="IX1698" s="74"/>
      <c r="IY1698" s="74"/>
      <c r="IZ1698" s="74"/>
      <c r="JA1698" s="74"/>
    </row>
    <row r="1699" spans="1:261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Q1699" s="74"/>
      <c r="R1699" s="74"/>
      <c r="S1699" s="74"/>
      <c r="T1699" s="74"/>
      <c r="U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  <c r="IW1699" s="74"/>
      <c r="IX1699" s="74"/>
      <c r="IY1699" s="74"/>
      <c r="IZ1699" s="74"/>
      <c r="JA1699" s="74"/>
    </row>
    <row r="1700" spans="1:261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Q1700" s="74"/>
      <c r="R1700" s="74"/>
      <c r="S1700" s="74"/>
      <c r="T1700" s="74"/>
      <c r="U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  <c r="IW1700" s="74"/>
      <c r="IX1700" s="74"/>
      <c r="IY1700" s="74"/>
      <c r="IZ1700" s="74"/>
      <c r="JA1700" s="74"/>
    </row>
    <row r="1701" spans="1:261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Q1701" s="74"/>
      <c r="R1701" s="74"/>
      <c r="S1701" s="74"/>
      <c r="T1701" s="74"/>
      <c r="U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  <c r="IW1701" s="74"/>
      <c r="IX1701" s="74"/>
      <c r="IY1701" s="74"/>
      <c r="IZ1701" s="74"/>
      <c r="JA1701" s="74"/>
    </row>
    <row r="1702" spans="1:261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Q1702" s="74"/>
      <c r="R1702" s="74"/>
      <c r="S1702" s="74"/>
      <c r="T1702" s="74"/>
      <c r="U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  <c r="IW1702" s="74"/>
      <c r="IX1702" s="74"/>
      <c r="IY1702" s="74"/>
      <c r="IZ1702" s="74"/>
      <c r="JA1702" s="74"/>
    </row>
    <row r="1703" spans="1:261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Q1703" s="74"/>
      <c r="R1703" s="74"/>
      <c r="S1703" s="74"/>
      <c r="T1703" s="74"/>
      <c r="U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  <c r="IW1703" s="74"/>
      <c r="IX1703" s="74"/>
      <c r="IY1703" s="74"/>
      <c r="IZ1703" s="74"/>
      <c r="JA1703" s="74"/>
    </row>
    <row r="1704" spans="1:261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Q1704" s="74"/>
      <c r="R1704" s="74"/>
      <c r="S1704" s="74"/>
      <c r="T1704" s="74"/>
      <c r="U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  <c r="IW1704" s="74"/>
      <c r="IX1704" s="74"/>
      <c r="IY1704" s="74"/>
      <c r="IZ1704" s="74"/>
      <c r="JA1704" s="74"/>
    </row>
    <row r="1705" spans="1:261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Q1705" s="74"/>
      <c r="R1705" s="74"/>
      <c r="S1705" s="74"/>
      <c r="T1705" s="74"/>
      <c r="U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  <c r="IW1705" s="74"/>
      <c r="IX1705" s="74"/>
      <c r="IY1705" s="74"/>
      <c r="IZ1705" s="74"/>
      <c r="JA1705" s="74"/>
    </row>
    <row r="1706" spans="1:261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Q1706" s="74"/>
      <c r="R1706" s="74"/>
      <c r="S1706" s="74"/>
      <c r="T1706" s="74"/>
      <c r="U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  <c r="IW1706" s="74"/>
      <c r="IX1706" s="74"/>
      <c r="IY1706" s="74"/>
      <c r="IZ1706" s="74"/>
      <c r="JA1706" s="74"/>
    </row>
    <row r="1707" spans="1:261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Q1707" s="74"/>
      <c r="R1707" s="74"/>
      <c r="S1707" s="74"/>
      <c r="T1707" s="74"/>
      <c r="U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  <c r="IW1707" s="74"/>
      <c r="IX1707" s="74"/>
      <c r="IY1707" s="74"/>
      <c r="IZ1707" s="74"/>
      <c r="JA1707" s="74"/>
    </row>
    <row r="1708" spans="1:261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Q1708" s="74"/>
      <c r="R1708" s="74"/>
      <c r="S1708" s="74"/>
      <c r="T1708" s="74"/>
      <c r="U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  <c r="IW1708" s="74"/>
      <c r="IX1708" s="74"/>
      <c r="IY1708" s="74"/>
      <c r="IZ1708" s="74"/>
      <c r="JA1708" s="74"/>
    </row>
    <row r="1709" spans="1:261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Q1709" s="74"/>
      <c r="R1709" s="74"/>
      <c r="S1709" s="74"/>
      <c r="T1709" s="74"/>
      <c r="U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  <c r="IW1709" s="74"/>
      <c r="IX1709" s="74"/>
      <c r="IY1709" s="74"/>
      <c r="IZ1709" s="74"/>
      <c r="JA1709" s="74"/>
    </row>
    <row r="1710" spans="1:261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Q1710" s="74"/>
      <c r="R1710" s="74"/>
      <c r="S1710" s="74"/>
      <c r="T1710" s="74"/>
      <c r="U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  <c r="IW1710" s="74"/>
      <c r="IX1710" s="74"/>
      <c r="IY1710" s="74"/>
      <c r="IZ1710" s="74"/>
      <c r="JA1710" s="74"/>
    </row>
    <row r="1711" spans="1:261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  <c r="U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  <c r="IW1711" s="74"/>
      <c r="IX1711" s="74"/>
      <c r="IY1711" s="74"/>
      <c r="IZ1711" s="74"/>
      <c r="JA1711" s="74"/>
    </row>
    <row r="1712" spans="1:261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  <c r="U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  <c r="IW1712" s="74"/>
      <c r="IX1712" s="74"/>
      <c r="IY1712" s="74"/>
      <c r="IZ1712" s="74"/>
      <c r="JA1712" s="74"/>
    </row>
    <row r="1713" spans="1:261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Q1713" s="74"/>
      <c r="R1713" s="74"/>
      <c r="S1713" s="74"/>
      <c r="T1713" s="74"/>
      <c r="U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  <c r="IW1713" s="74"/>
      <c r="IX1713" s="74"/>
      <c r="IY1713" s="74"/>
      <c r="IZ1713" s="74"/>
      <c r="JA1713" s="74"/>
    </row>
    <row r="1714" spans="1:261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Q1714" s="74"/>
      <c r="R1714" s="74"/>
      <c r="S1714" s="74"/>
      <c r="T1714" s="74"/>
      <c r="U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  <c r="IW1714" s="74"/>
      <c r="IX1714" s="74"/>
      <c r="IY1714" s="74"/>
      <c r="IZ1714" s="74"/>
      <c r="JA1714" s="74"/>
    </row>
    <row r="1715" spans="1:261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Q1715" s="74"/>
      <c r="R1715" s="74"/>
      <c r="S1715" s="74"/>
      <c r="T1715" s="74"/>
      <c r="U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  <c r="IW1715" s="74"/>
      <c r="IX1715" s="74"/>
      <c r="IY1715" s="74"/>
      <c r="IZ1715" s="74"/>
      <c r="JA1715" s="74"/>
    </row>
    <row r="1716" spans="1:261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Q1716" s="74"/>
      <c r="R1716" s="74"/>
      <c r="S1716" s="74"/>
      <c r="T1716" s="74"/>
      <c r="U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  <c r="IW1716" s="74"/>
      <c r="IX1716" s="74"/>
      <c r="IY1716" s="74"/>
      <c r="IZ1716" s="74"/>
      <c r="JA1716" s="74"/>
    </row>
    <row r="1717" spans="1:261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Q1717" s="74"/>
      <c r="R1717" s="74"/>
      <c r="S1717" s="74"/>
      <c r="T1717" s="74"/>
      <c r="U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  <c r="IW1717" s="74"/>
      <c r="IX1717" s="74"/>
      <c r="IY1717" s="74"/>
      <c r="IZ1717" s="74"/>
      <c r="JA1717" s="74"/>
    </row>
    <row r="1718" spans="1:261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Q1718" s="74"/>
      <c r="R1718" s="74"/>
      <c r="S1718" s="74"/>
      <c r="T1718" s="74"/>
      <c r="U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  <c r="IW1718" s="74"/>
      <c r="IX1718" s="74"/>
      <c r="IY1718" s="74"/>
      <c r="IZ1718" s="74"/>
      <c r="JA1718" s="74"/>
    </row>
    <row r="1719" spans="1:261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Q1719" s="74"/>
      <c r="R1719" s="74"/>
      <c r="S1719" s="74"/>
      <c r="T1719" s="74"/>
      <c r="U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  <c r="IW1719" s="74"/>
      <c r="IX1719" s="74"/>
      <c r="IY1719" s="74"/>
      <c r="IZ1719" s="74"/>
      <c r="JA1719" s="74"/>
    </row>
    <row r="1720" spans="1:261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Q1720" s="74"/>
      <c r="R1720" s="74"/>
      <c r="S1720" s="74"/>
      <c r="T1720" s="74"/>
      <c r="U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  <c r="IW1720" s="74"/>
      <c r="IX1720" s="74"/>
      <c r="IY1720" s="74"/>
      <c r="IZ1720" s="74"/>
      <c r="JA1720" s="74"/>
    </row>
    <row r="1721" spans="1:261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Q1721" s="74"/>
      <c r="R1721" s="74"/>
      <c r="S1721" s="74"/>
      <c r="T1721" s="74"/>
      <c r="U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  <c r="IW1721" s="74"/>
      <c r="IX1721" s="74"/>
      <c r="IY1721" s="74"/>
      <c r="IZ1721" s="74"/>
      <c r="JA1721" s="74"/>
    </row>
    <row r="1722" spans="1:261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Q1722" s="74"/>
      <c r="R1722" s="74"/>
      <c r="S1722" s="74"/>
      <c r="T1722" s="74"/>
      <c r="U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  <c r="IW1722" s="74"/>
      <c r="IX1722" s="74"/>
      <c r="IY1722" s="74"/>
      <c r="IZ1722" s="74"/>
      <c r="JA1722" s="74"/>
    </row>
    <row r="1723" spans="1:261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Q1723" s="74"/>
      <c r="R1723" s="74"/>
      <c r="S1723" s="74"/>
      <c r="T1723" s="74"/>
      <c r="U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  <c r="IW1723" s="74"/>
      <c r="IX1723" s="74"/>
      <c r="IY1723" s="74"/>
      <c r="IZ1723" s="74"/>
      <c r="JA1723" s="74"/>
    </row>
    <row r="1724" spans="1:261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Q1724" s="74"/>
      <c r="R1724" s="74"/>
      <c r="S1724" s="74"/>
      <c r="T1724" s="74"/>
      <c r="U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  <c r="IW1724" s="74"/>
      <c r="IX1724" s="74"/>
      <c r="IY1724" s="74"/>
      <c r="IZ1724" s="74"/>
      <c r="JA1724" s="74"/>
    </row>
    <row r="1725" spans="1:261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Q1725" s="74"/>
      <c r="R1725" s="74"/>
      <c r="S1725" s="74"/>
      <c r="T1725" s="74"/>
      <c r="U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  <c r="IW1725" s="74"/>
      <c r="IX1725" s="74"/>
      <c r="IY1725" s="74"/>
      <c r="IZ1725" s="74"/>
      <c r="JA1725" s="74"/>
    </row>
    <row r="1726" spans="1:261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Q1726" s="74"/>
      <c r="R1726" s="74"/>
      <c r="S1726" s="74"/>
      <c r="T1726" s="74"/>
      <c r="U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  <c r="IW1726" s="74"/>
      <c r="IX1726" s="74"/>
      <c r="IY1726" s="74"/>
      <c r="IZ1726" s="74"/>
      <c r="JA1726" s="74"/>
    </row>
    <row r="1727" spans="1:261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Q1727" s="74"/>
      <c r="R1727" s="74"/>
      <c r="S1727" s="74"/>
      <c r="T1727" s="74"/>
      <c r="U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  <c r="IW1727" s="74"/>
      <c r="IX1727" s="74"/>
      <c r="IY1727" s="74"/>
      <c r="IZ1727" s="74"/>
      <c r="JA1727" s="74"/>
    </row>
    <row r="1728" spans="1:261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Q1728" s="74"/>
      <c r="R1728" s="74"/>
      <c r="S1728" s="74"/>
      <c r="T1728" s="74"/>
      <c r="U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  <c r="IW1728" s="74"/>
      <c r="IX1728" s="74"/>
      <c r="IY1728" s="74"/>
      <c r="IZ1728" s="74"/>
      <c r="JA1728" s="74"/>
    </row>
    <row r="1729" spans="1:261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Q1729" s="74"/>
      <c r="R1729" s="74"/>
      <c r="S1729" s="74"/>
      <c r="T1729" s="74"/>
      <c r="U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  <c r="IW1729" s="74"/>
      <c r="IX1729" s="74"/>
      <c r="IY1729" s="74"/>
      <c r="IZ1729" s="74"/>
      <c r="JA1729" s="74"/>
    </row>
    <row r="1730" spans="1:261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Q1730" s="74"/>
      <c r="R1730" s="74"/>
      <c r="S1730" s="74"/>
      <c r="T1730" s="74"/>
      <c r="U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  <c r="IW1730" s="74"/>
      <c r="IX1730" s="74"/>
      <c r="IY1730" s="74"/>
      <c r="IZ1730" s="74"/>
      <c r="JA1730" s="74"/>
    </row>
    <row r="1731" spans="1:261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Q1731" s="74"/>
      <c r="R1731" s="74"/>
      <c r="S1731" s="74"/>
      <c r="T1731" s="74"/>
      <c r="U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  <c r="IW1731" s="74"/>
      <c r="IX1731" s="74"/>
      <c r="IY1731" s="74"/>
      <c r="IZ1731" s="74"/>
      <c r="JA1731" s="74"/>
    </row>
    <row r="1732" spans="1:261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Q1732" s="74"/>
      <c r="R1732" s="74"/>
      <c r="S1732" s="74"/>
      <c r="T1732" s="74"/>
      <c r="U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  <c r="IW1732" s="74"/>
      <c r="IX1732" s="74"/>
      <c r="IY1732" s="74"/>
      <c r="IZ1732" s="74"/>
      <c r="JA1732" s="74"/>
    </row>
    <row r="1733" spans="1:261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Q1733" s="74"/>
      <c r="R1733" s="74"/>
      <c r="S1733" s="74"/>
      <c r="T1733" s="74"/>
      <c r="U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  <c r="IW1733" s="74"/>
      <c r="IX1733" s="74"/>
      <c r="IY1733" s="74"/>
      <c r="IZ1733" s="74"/>
      <c r="JA1733" s="74"/>
    </row>
    <row r="1734" spans="1:261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Q1734" s="74"/>
      <c r="R1734" s="74"/>
      <c r="S1734" s="74"/>
      <c r="T1734" s="74"/>
      <c r="U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  <c r="IW1734" s="74"/>
      <c r="IX1734" s="74"/>
      <c r="IY1734" s="74"/>
      <c r="IZ1734" s="74"/>
      <c r="JA1734" s="74"/>
    </row>
    <row r="1735" spans="1:261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Q1735" s="74"/>
      <c r="R1735" s="74"/>
      <c r="S1735" s="74"/>
      <c r="T1735" s="74"/>
      <c r="U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  <c r="IW1735" s="74"/>
      <c r="IX1735" s="74"/>
      <c r="IY1735" s="74"/>
      <c r="IZ1735" s="74"/>
      <c r="JA1735" s="74"/>
    </row>
    <row r="1736" spans="1:261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Q1736" s="74"/>
      <c r="R1736" s="74"/>
      <c r="S1736" s="74"/>
      <c r="T1736" s="74"/>
      <c r="U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  <c r="IW1736" s="74"/>
      <c r="IX1736" s="74"/>
      <c r="IY1736" s="74"/>
      <c r="IZ1736" s="74"/>
      <c r="JA1736" s="74"/>
    </row>
    <row r="1737" spans="1:261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Q1737" s="74"/>
      <c r="R1737" s="74"/>
      <c r="S1737" s="74"/>
      <c r="T1737" s="74"/>
      <c r="U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  <c r="IW1737" s="74"/>
      <c r="IX1737" s="74"/>
      <c r="IY1737" s="74"/>
      <c r="IZ1737" s="74"/>
      <c r="JA1737" s="74"/>
    </row>
    <row r="1738" spans="1:261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Q1738" s="74"/>
      <c r="R1738" s="74"/>
      <c r="S1738" s="74"/>
      <c r="T1738" s="74"/>
      <c r="U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  <c r="IW1738" s="74"/>
      <c r="IX1738" s="74"/>
      <c r="IY1738" s="74"/>
      <c r="IZ1738" s="74"/>
      <c r="JA1738" s="74"/>
    </row>
    <row r="1739" spans="1:261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Q1739" s="74"/>
      <c r="R1739" s="74"/>
      <c r="S1739" s="74"/>
      <c r="T1739" s="74"/>
      <c r="U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  <c r="IW1739" s="74"/>
      <c r="IX1739" s="74"/>
      <c r="IY1739" s="74"/>
      <c r="IZ1739" s="74"/>
      <c r="JA1739" s="74"/>
    </row>
    <row r="1740" spans="1:261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Q1740" s="74"/>
      <c r="R1740" s="74"/>
      <c r="S1740" s="74"/>
      <c r="T1740" s="74"/>
      <c r="U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  <c r="IW1740" s="74"/>
      <c r="IX1740" s="74"/>
      <c r="IY1740" s="74"/>
      <c r="IZ1740" s="74"/>
      <c r="JA1740" s="74"/>
    </row>
    <row r="1741" spans="1:261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Q1741" s="74"/>
      <c r="R1741" s="74"/>
      <c r="S1741" s="74"/>
      <c r="T1741" s="74"/>
      <c r="U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  <c r="IW1741" s="74"/>
      <c r="IX1741" s="74"/>
      <c r="IY1741" s="74"/>
      <c r="IZ1741" s="74"/>
      <c r="JA1741" s="74"/>
    </row>
    <row r="1742" spans="1:261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Q1742" s="74"/>
      <c r="R1742" s="74"/>
      <c r="S1742" s="74"/>
      <c r="T1742" s="74"/>
      <c r="U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  <c r="IW1742" s="74"/>
      <c r="IX1742" s="74"/>
      <c r="IY1742" s="74"/>
      <c r="IZ1742" s="74"/>
      <c r="JA1742" s="74"/>
    </row>
    <row r="1743" spans="1:261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Q1743" s="74"/>
      <c r="R1743" s="74"/>
      <c r="S1743" s="74"/>
      <c r="T1743" s="74"/>
      <c r="U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  <c r="IW1743" s="74"/>
      <c r="IX1743" s="74"/>
      <c r="IY1743" s="74"/>
      <c r="IZ1743" s="74"/>
      <c r="JA1743" s="74"/>
    </row>
    <row r="1744" spans="1:261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Q1744" s="74"/>
      <c r="R1744" s="74"/>
      <c r="S1744" s="74"/>
      <c r="T1744" s="74"/>
      <c r="U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  <c r="IW1744" s="74"/>
      <c r="IX1744" s="74"/>
      <c r="IY1744" s="74"/>
      <c r="IZ1744" s="74"/>
      <c r="JA1744" s="74"/>
    </row>
    <row r="1745" spans="1:261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Q1745" s="74"/>
      <c r="R1745" s="74"/>
      <c r="S1745" s="74"/>
      <c r="T1745" s="74"/>
      <c r="U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  <c r="IW1745" s="74"/>
      <c r="IX1745" s="74"/>
      <c r="IY1745" s="74"/>
      <c r="IZ1745" s="74"/>
      <c r="JA1745" s="74"/>
    </row>
    <row r="1746" spans="1:261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Q1746" s="74"/>
      <c r="R1746" s="74"/>
      <c r="S1746" s="74"/>
      <c r="T1746" s="74"/>
      <c r="U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  <c r="IW1746" s="74"/>
      <c r="IX1746" s="74"/>
      <c r="IY1746" s="74"/>
      <c r="IZ1746" s="74"/>
      <c r="JA1746" s="74"/>
    </row>
    <row r="1747" spans="1:261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Q1747" s="74"/>
      <c r="R1747" s="74"/>
      <c r="S1747" s="74"/>
      <c r="T1747" s="74"/>
      <c r="U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  <c r="IW1747" s="74"/>
      <c r="IX1747" s="74"/>
      <c r="IY1747" s="74"/>
      <c r="IZ1747" s="74"/>
      <c r="JA1747" s="74"/>
    </row>
    <row r="1748" spans="1:261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Q1748" s="74"/>
      <c r="R1748" s="74"/>
      <c r="S1748" s="74"/>
      <c r="T1748" s="74"/>
      <c r="U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  <c r="IW1748" s="74"/>
      <c r="IX1748" s="74"/>
      <c r="IY1748" s="74"/>
      <c r="IZ1748" s="74"/>
      <c r="JA1748" s="74"/>
    </row>
    <row r="1749" spans="1:261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Q1749" s="74"/>
      <c r="R1749" s="74"/>
      <c r="S1749" s="74"/>
      <c r="T1749" s="74"/>
      <c r="U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  <c r="IW1749" s="74"/>
      <c r="IX1749" s="74"/>
      <c r="IY1749" s="74"/>
      <c r="IZ1749" s="74"/>
      <c r="JA1749" s="74"/>
    </row>
    <row r="1750" spans="1:261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Q1750" s="74"/>
      <c r="R1750" s="74"/>
      <c r="S1750" s="74"/>
      <c r="T1750" s="74"/>
      <c r="U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  <c r="IW1750" s="74"/>
      <c r="IX1750" s="74"/>
      <c r="IY1750" s="74"/>
      <c r="IZ1750" s="74"/>
      <c r="JA1750" s="74"/>
    </row>
    <row r="1751" spans="1:261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Q1751" s="74"/>
      <c r="R1751" s="74"/>
      <c r="S1751" s="74"/>
      <c r="T1751" s="74"/>
      <c r="U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  <c r="IW1751" s="74"/>
      <c r="IX1751" s="74"/>
      <c r="IY1751" s="74"/>
      <c r="IZ1751" s="74"/>
      <c r="JA1751" s="74"/>
    </row>
    <row r="1752" spans="1:261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Q1752" s="74"/>
      <c r="R1752" s="74"/>
      <c r="S1752" s="74"/>
      <c r="T1752" s="74"/>
      <c r="U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  <c r="IW1752" s="74"/>
      <c r="IX1752" s="74"/>
      <c r="IY1752" s="74"/>
      <c r="IZ1752" s="74"/>
      <c r="JA1752" s="74"/>
    </row>
    <row r="1753" spans="1:261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Q1753" s="74"/>
      <c r="R1753" s="74"/>
      <c r="S1753" s="74"/>
      <c r="T1753" s="74"/>
      <c r="U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  <c r="IW1753" s="74"/>
      <c r="IX1753" s="74"/>
      <c r="IY1753" s="74"/>
      <c r="IZ1753" s="74"/>
      <c r="JA1753" s="74"/>
    </row>
    <row r="1754" spans="1:261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Q1754" s="74"/>
      <c r="R1754" s="74"/>
      <c r="S1754" s="74"/>
      <c r="T1754" s="74"/>
      <c r="U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  <c r="IW1754" s="74"/>
      <c r="IX1754" s="74"/>
      <c r="IY1754" s="74"/>
      <c r="IZ1754" s="74"/>
      <c r="JA1754" s="74"/>
    </row>
    <row r="1755" spans="1:261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Q1755" s="74"/>
      <c r="R1755" s="74"/>
      <c r="S1755" s="74"/>
      <c r="T1755" s="74"/>
      <c r="U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  <c r="IW1755" s="74"/>
      <c r="IX1755" s="74"/>
      <c r="IY1755" s="74"/>
      <c r="IZ1755" s="74"/>
      <c r="JA1755" s="74"/>
    </row>
    <row r="1756" spans="1:261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  <c r="U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  <c r="IW1756" s="74"/>
      <c r="IX1756" s="74"/>
      <c r="IY1756" s="74"/>
      <c r="IZ1756" s="74"/>
      <c r="JA1756" s="74"/>
    </row>
    <row r="1757" spans="1:261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  <c r="U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  <c r="IW1757" s="74"/>
      <c r="IX1757" s="74"/>
      <c r="IY1757" s="74"/>
      <c r="IZ1757" s="74"/>
      <c r="JA1757" s="74"/>
    </row>
    <row r="1758" spans="1:261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Q1758" s="74"/>
      <c r="R1758" s="74"/>
      <c r="S1758" s="74"/>
      <c r="T1758" s="74"/>
      <c r="U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  <c r="IW1758" s="74"/>
      <c r="IX1758" s="74"/>
      <c r="IY1758" s="74"/>
      <c r="IZ1758" s="74"/>
      <c r="JA1758" s="74"/>
    </row>
    <row r="1759" spans="1:261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Q1759" s="74"/>
      <c r="R1759" s="74"/>
      <c r="S1759" s="74"/>
      <c r="T1759" s="74"/>
      <c r="U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  <c r="IW1759" s="74"/>
      <c r="IX1759" s="74"/>
      <c r="IY1759" s="74"/>
      <c r="IZ1759" s="74"/>
      <c r="JA1759" s="74"/>
    </row>
    <row r="1760" spans="1:261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Q1760" s="74"/>
      <c r="R1760" s="74"/>
      <c r="S1760" s="74"/>
      <c r="T1760" s="74"/>
      <c r="U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  <c r="IW1760" s="74"/>
      <c r="IX1760" s="74"/>
      <c r="IY1760" s="74"/>
      <c r="IZ1760" s="74"/>
      <c r="JA1760" s="74"/>
    </row>
    <row r="1761" spans="1:261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Q1761" s="74"/>
      <c r="R1761" s="74"/>
      <c r="S1761" s="74"/>
      <c r="T1761" s="74"/>
      <c r="U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  <c r="IW1761" s="74"/>
      <c r="IX1761" s="74"/>
      <c r="IY1761" s="74"/>
      <c r="IZ1761" s="74"/>
      <c r="JA1761" s="74"/>
    </row>
    <row r="1762" spans="1:261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Q1762" s="74"/>
      <c r="R1762" s="74"/>
      <c r="S1762" s="74"/>
      <c r="T1762" s="74"/>
      <c r="U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  <c r="IW1762" s="74"/>
      <c r="IX1762" s="74"/>
      <c r="IY1762" s="74"/>
      <c r="IZ1762" s="74"/>
      <c r="JA1762" s="74"/>
    </row>
    <row r="1763" spans="1:261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Q1763" s="74"/>
      <c r="R1763" s="74"/>
      <c r="S1763" s="74"/>
      <c r="T1763" s="74"/>
      <c r="U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  <c r="IW1763" s="74"/>
      <c r="IX1763" s="74"/>
      <c r="IY1763" s="74"/>
      <c r="IZ1763" s="74"/>
      <c r="JA1763" s="74"/>
    </row>
    <row r="1764" spans="1:261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Q1764" s="74"/>
      <c r="R1764" s="74"/>
      <c r="S1764" s="74"/>
      <c r="T1764" s="74"/>
      <c r="U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  <c r="IW1764" s="74"/>
      <c r="IX1764" s="74"/>
      <c r="IY1764" s="74"/>
      <c r="IZ1764" s="74"/>
      <c r="JA1764" s="74"/>
    </row>
    <row r="1765" spans="1:261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Q1765" s="74"/>
      <c r="R1765" s="74"/>
      <c r="S1765" s="74"/>
      <c r="T1765" s="74"/>
      <c r="U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  <c r="IW1765" s="74"/>
      <c r="IX1765" s="74"/>
      <c r="IY1765" s="74"/>
      <c r="IZ1765" s="74"/>
      <c r="JA1765" s="74"/>
    </row>
    <row r="1766" spans="1:261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Q1766" s="74"/>
      <c r="R1766" s="74"/>
      <c r="S1766" s="74"/>
      <c r="T1766" s="74"/>
      <c r="U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  <c r="IW1766" s="74"/>
      <c r="IX1766" s="74"/>
      <c r="IY1766" s="74"/>
      <c r="IZ1766" s="74"/>
      <c r="JA1766" s="74"/>
    </row>
    <row r="1767" spans="1:261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Q1767" s="74"/>
      <c r="R1767" s="74"/>
      <c r="S1767" s="74"/>
      <c r="T1767" s="74"/>
      <c r="U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  <c r="IW1767" s="74"/>
      <c r="IX1767" s="74"/>
      <c r="IY1767" s="74"/>
      <c r="IZ1767" s="74"/>
      <c r="JA1767" s="74"/>
    </row>
    <row r="1768" spans="1:261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Q1768" s="74"/>
      <c r="R1768" s="74"/>
      <c r="S1768" s="74"/>
      <c r="T1768" s="74"/>
      <c r="U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  <c r="IW1768" s="74"/>
      <c r="IX1768" s="74"/>
      <c r="IY1768" s="74"/>
      <c r="IZ1768" s="74"/>
      <c r="JA1768" s="74"/>
    </row>
    <row r="1769" spans="1:261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Q1769" s="74"/>
      <c r="R1769" s="74"/>
      <c r="S1769" s="74"/>
      <c r="T1769" s="74"/>
      <c r="U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  <c r="IW1769" s="74"/>
      <c r="IX1769" s="74"/>
      <c r="IY1769" s="74"/>
      <c r="IZ1769" s="74"/>
      <c r="JA1769" s="74"/>
    </row>
    <row r="1770" spans="1:261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Q1770" s="74"/>
      <c r="R1770" s="74"/>
      <c r="S1770" s="74"/>
      <c r="T1770" s="74"/>
      <c r="U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  <c r="IW1770" s="74"/>
      <c r="IX1770" s="74"/>
      <c r="IY1770" s="74"/>
      <c r="IZ1770" s="74"/>
      <c r="JA1770" s="74"/>
    </row>
    <row r="1771" spans="1:261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Q1771" s="74"/>
      <c r="R1771" s="74"/>
      <c r="S1771" s="74"/>
      <c r="T1771" s="74"/>
      <c r="U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  <c r="IW1771" s="74"/>
      <c r="IX1771" s="74"/>
      <c r="IY1771" s="74"/>
      <c r="IZ1771" s="74"/>
      <c r="JA1771" s="74"/>
    </row>
    <row r="1772" spans="1:261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Q1772" s="74"/>
      <c r="R1772" s="74"/>
      <c r="S1772" s="74"/>
      <c r="T1772" s="74"/>
      <c r="U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  <c r="IW1772" s="74"/>
      <c r="IX1772" s="74"/>
      <c r="IY1772" s="74"/>
      <c r="IZ1772" s="74"/>
      <c r="JA1772" s="74"/>
    </row>
    <row r="1773" spans="1:261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Q1773" s="74"/>
      <c r="R1773" s="74"/>
      <c r="S1773" s="74"/>
      <c r="T1773" s="74"/>
      <c r="U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  <c r="IW1773" s="74"/>
      <c r="IX1773" s="74"/>
      <c r="IY1773" s="74"/>
      <c r="IZ1773" s="74"/>
      <c r="JA1773" s="74"/>
    </row>
    <row r="1774" spans="1:261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Q1774" s="74"/>
      <c r="R1774" s="74"/>
      <c r="S1774" s="74"/>
      <c r="T1774" s="74"/>
      <c r="U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  <c r="IW1774" s="74"/>
      <c r="IX1774" s="74"/>
      <c r="IY1774" s="74"/>
      <c r="IZ1774" s="74"/>
      <c r="JA1774" s="74"/>
    </row>
    <row r="1775" spans="1:261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Q1775" s="74"/>
      <c r="R1775" s="74"/>
      <c r="S1775" s="74"/>
      <c r="T1775" s="74"/>
      <c r="U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  <c r="IW1775" s="74"/>
      <c r="IX1775" s="74"/>
      <c r="IY1775" s="74"/>
      <c r="IZ1775" s="74"/>
      <c r="JA1775" s="74"/>
    </row>
    <row r="1776" spans="1:261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Q1776" s="74"/>
      <c r="R1776" s="74"/>
      <c r="S1776" s="74"/>
      <c r="T1776" s="74"/>
      <c r="U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  <c r="IW1776" s="74"/>
      <c r="IX1776" s="74"/>
      <c r="IY1776" s="74"/>
      <c r="IZ1776" s="74"/>
      <c r="JA1776" s="74"/>
    </row>
    <row r="1777" spans="1:261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Q1777" s="74"/>
      <c r="R1777" s="74"/>
      <c r="S1777" s="74"/>
      <c r="T1777" s="74"/>
      <c r="U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  <c r="IW1777" s="74"/>
      <c r="IX1777" s="74"/>
      <c r="IY1777" s="74"/>
      <c r="IZ1777" s="74"/>
      <c r="JA1777" s="74"/>
    </row>
    <row r="1778" spans="1:261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Q1778" s="74"/>
      <c r="R1778" s="74"/>
      <c r="S1778" s="74"/>
      <c r="T1778" s="74"/>
      <c r="U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  <c r="IW1778" s="74"/>
      <c r="IX1778" s="74"/>
      <c r="IY1778" s="74"/>
      <c r="IZ1778" s="74"/>
      <c r="JA1778" s="74"/>
    </row>
    <row r="1779" spans="1:261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Q1779" s="74"/>
      <c r="R1779" s="74"/>
      <c r="S1779" s="74"/>
      <c r="T1779" s="74"/>
      <c r="U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  <c r="IW1779" s="74"/>
      <c r="IX1779" s="74"/>
      <c r="IY1779" s="74"/>
      <c r="IZ1779" s="74"/>
      <c r="JA1779" s="74"/>
    </row>
    <row r="1780" spans="1:261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Q1780" s="74"/>
      <c r="R1780" s="74"/>
      <c r="S1780" s="74"/>
      <c r="T1780" s="74"/>
      <c r="U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  <c r="IW1780" s="74"/>
      <c r="IX1780" s="74"/>
      <c r="IY1780" s="74"/>
      <c r="IZ1780" s="74"/>
      <c r="JA1780" s="74"/>
    </row>
    <row r="1781" spans="1:261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Q1781" s="74"/>
      <c r="R1781" s="74"/>
      <c r="S1781" s="74"/>
      <c r="T1781" s="74"/>
      <c r="U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  <c r="IW1781" s="74"/>
      <c r="IX1781" s="74"/>
      <c r="IY1781" s="74"/>
      <c r="IZ1781" s="74"/>
      <c r="JA1781" s="74"/>
    </row>
    <row r="1782" spans="1:261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Q1782" s="74"/>
      <c r="R1782" s="74"/>
      <c r="S1782" s="74"/>
      <c r="T1782" s="74"/>
      <c r="U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  <c r="IW1782" s="74"/>
      <c r="IX1782" s="74"/>
      <c r="IY1782" s="74"/>
      <c r="IZ1782" s="74"/>
      <c r="JA1782" s="74"/>
    </row>
    <row r="1783" spans="1:261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Q1783" s="74"/>
      <c r="R1783" s="74"/>
      <c r="S1783" s="74"/>
      <c r="T1783" s="74"/>
      <c r="U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  <c r="IW1783" s="74"/>
      <c r="IX1783" s="74"/>
      <c r="IY1783" s="74"/>
      <c r="IZ1783" s="74"/>
      <c r="JA1783" s="74"/>
    </row>
    <row r="1784" spans="1:261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Q1784" s="74"/>
      <c r="R1784" s="74"/>
      <c r="S1784" s="74"/>
      <c r="T1784" s="74"/>
      <c r="U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  <c r="IW1784" s="74"/>
      <c r="IX1784" s="74"/>
      <c r="IY1784" s="74"/>
      <c r="IZ1784" s="74"/>
      <c r="JA1784" s="74"/>
    </row>
    <row r="1785" spans="1:261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Q1785" s="74"/>
      <c r="R1785" s="74"/>
      <c r="S1785" s="74"/>
      <c r="T1785" s="74"/>
      <c r="U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  <c r="IW1785" s="74"/>
      <c r="IX1785" s="74"/>
      <c r="IY1785" s="74"/>
      <c r="IZ1785" s="74"/>
      <c r="JA1785" s="74"/>
    </row>
    <row r="1786" spans="1:261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Q1786" s="74"/>
      <c r="R1786" s="74"/>
      <c r="S1786" s="74"/>
      <c r="T1786" s="74"/>
      <c r="U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  <c r="IW1786" s="74"/>
      <c r="IX1786" s="74"/>
      <c r="IY1786" s="74"/>
      <c r="IZ1786" s="74"/>
      <c r="JA1786" s="74"/>
    </row>
    <row r="1787" spans="1:261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Q1787" s="74"/>
      <c r="R1787" s="74"/>
      <c r="S1787" s="74"/>
      <c r="T1787" s="74"/>
      <c r="U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  <c r="IW1787" s="74"/>
      <c r="IX1787" s="74"/>
      <c r="IY1787" s="74"/>
      <c r="IZ1787" s="74"/>
      <c r="JA1787" s="74"/>
    </row>
    <row r="1788" spans="1:261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Q1788" s="74"/>
      <c r="R1788" s="74"/>
      <c r="S1788" s="74"/>
      <c r="T1788" s="74"/>
      <c r="U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  <c r="IW1788" s="74"/>
      <c r="IX1788" s="74"/>
      <c r="IY1788" s="74"/>
      <c r="IZ1788" s="74"/>
      <c r="JA1788" s="74"/>
    </row>
    <row r="1789" spans="1:261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Q1789" s="74"/>
      <c r="R1789" s="74"/>
      <c r="S1789" s="74"/>
      <c r="T1789" s="74"/>
      <c r="U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  <c r="IW1789" s="74"/>
      <c r="IX1789" s="74"/>
      <c r="IY1789" s="74"/>
      <c r="IZ1789" s="74"/>
      <c r="JA1789" s="74"/>
    </row>
    <row r="1790" spans="1:261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Q1790" s="74"/>
      <c r="R1790" s="74"/>
      <c r="S1790" s="74"/>
      <c r="T1790" s="74"/>
      <c r="U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  <c r="IW1790" s="74"/>
      <c r="IX1790" s="74"/>
      <c r="IY1790" s="74"/>
      <c r="IZ1790" s="74"/>
      <c r="JA1790" s="74"/>
    </row>
    <row r="1791" spans="1:261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Q1791" s="74"/>
      <c r="R1791" s="74"/>
      <c r="S1791" s="74"/>
      <c r="T1791" s="74"/>
      <c r="U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  <c r="IW1791" s="74"/>
      <c r="IX1791" s="74"/>
      <c r="IY1791" s="74"/>
      <c r="IZ1791" s="74"/>
      <c r="JA1791" s="74"/>
    </row>
    <row r="1792" spans="1:261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Q1792" s="74"/>
      <c r="R1792" s="74"/>
      <c r="S1792" s="74"/>
      <c r="T1792" s="74"/>
      <c r="U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  <c r="IW1792" s="74"/>
      <c r="IX1792" s="74"/>
      <c r="IY1792" s="74"/>
      <c r="IZ1792" s="74"/>
      <c r="JA1792" s="74"/>
    </row>
    <row r="1793" spans="1:261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Q1793" s="74"/>
      <c r="R1793" s="74"/>
      <c r="S1793" s="74"/>
      <c r="T1793" s="74"/>
      <c r="U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  <c r="IW1793" s="74"/>
      <c r="IX1793" s="74"/>
      <c r="IY1793" s="74"/>
      <c r="IZ1793" s="74"/>
      <c r="JA1793" s="74"/>
    </row>
    <row r="1794" spans="1:261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Q1794" s="74"/>
      <c r="R1794" s="74"/>
      <c r="S1794" s="74"/>
      <c r="T1794" s="74"/>
      <c r="U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  <c r="IW1794" s="74"/>
      <c r="IX1794" s="74"/>
      <c r="IY1794" s="74"/>
      <c r="IZ1794" s="74"/>
      <c r="JA1794" s="74"/>
    </row>
    <row r="1795" spans="1:261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Q1795" s="74"/>
      <c r="R1795" s="74"/>
      <c r="S1795" s="74"/>
      <c r="T1795" s="74"/>
      <c r="U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  <c r="IW1795" s="74"/>
      <c r="IX1795" s="74"/>
      <c r="IY1795" s="74"/>
      <c r="IZ1795" s="74"/>
      <c r="JA1795" s="74"/>
    </row>
    <row r="1796" spans="1:261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Q1796" s="74"/>
      <c r="R1796" s="74"/>
      <c r="S1796" s="74"/>
      <c r="T1796" s="74"/>
      <c r="U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  <c r="IW1796" s="74"/>
      <c r="IX1796" s="74"/>
      <c r="IY1796" s="74"/>
      <c r="IZ1796" s="74"/>
      <c r="JA1796" s="74"/>
    </row>
    <row r="1797" spans="1:261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Q1797" s="74"/>
      <c r="R1797" s="74"/>
      <c r="S1797" s="74"/>
      <c r="T1797" s="74"/>
      <c r="U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  <c r="IW1797" s="74"/>
      <c r="IX1797" s="74"/>
      <c r="IY1797" s="74"/>
      <c r="IZ1797" s="74"/>
      <c r="JA1797" s="74"/>
    </row>
    <row r="1798" spans="1:261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Q1798" s="74"/>
      <c r="R1798" s="74"/>
      <c r="S1798" s="74"/>
      <c r="T1798" s="74"/>
      <c r="U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  <c r="IW1798" s="74"/>
      <c r="IX1798" s="74"/>
      <c r="IY1798" s="74"/>
      <c r="IZ1798" s="74"/>
      <c r="JA1798" s="74"/>
    </row>
    <row r="1799" spans="1:261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Q1799" s="74"/>
      <c r="R1799" s="74"/>
      <c r="S1799" s="74"/>
      <c r="T1799" s="74"/>
      <c r="U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  <c r="IW1799" s="74"/>
      <c r="IX1799" s="74"/>
      <c r="IY1799" s="74"/>
      <c r="IZ1799" s="74"/>
      <c r="JA1799" s="74"/>
    </row>
    <row r="1800" spans="1:261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Q1800" s="74"/>
      <c r="R1800" s="74"/>
      <c r="S1800" s="74"/>
      <c r="T1800" s="74"/>
      <c r="U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  <c r="IW1800" s="74"/>
      <c r="IX1800" s="74"/>
      <c r="IY1800" s="74"/>
      <c r="IZ1800" s="74"/>
      <c r="JA1800" s="74"/>
    </row>
    <row r="1801" spans="1:261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  <c r="U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  <c r="IW1801" s="74"/>
      <c r="IX1801" s="74"/>
      <c r="IY1801" s="74"/>
      <c r="IZ1801" s="74"/>
      <c r="JA1801" s="74"/>
    </row>
    <row r="1802" spans="1:261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  <c r="U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  <c r="IW1802" s="74"/>
      <c r="IX1802" s="74"/>
      <c r="IY1802" s="74"/>
      <c r="IZ1802" s="74"/>
      <c r="JA1802" s="74"/>
    </row>
    <row r="1803" spans="1:261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Q1803" s="74"/>
      <c r="R1803" s="74"/>
      <c r="S1803" s="74"/>
      <c r="T1803" s="74"/>
      <c r="U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  <c r="IW1803" s="74"/>
      <c r="IX1803" s="74"/>
      <c r="IY1803" s="74"/>
      <c r="IZ1803" s="74"/>
      <c r="JA1803" s="74"/>
    </row>
    <row r="1804" spans="1:261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Q1804" s="74"/>
      <c r="R1804" s="74"/>
      <c r="S1804" s="74"/>
      <c r="T1804" s="74"/>
      <c r="U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  <c r="IW1804" s="74"/>
      <c r="IX1804" s="74"/>
      <c r="IY1804" s="74"/>
      <c r="IZ1804" s="74"/>
      <c r="JA1804" s="74"/>
    </row>
    <row r="1805" spans="1:261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Q1805" s="74"/>
      <c r="R1805" s="74"/>
      <c r="S1805" s="74"/>
      <c r="T1805" s="74"/>
      <c r="U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  <c r="IW1805" s="74"/>
      <c r="IX1805" s="74"/>
      <c r="IY1805" s="74"/>
      <c r="IZ1805" s="74"/>
      <c r="JA1805" s="74"/>
    </row>
    <row r="1806" spans="1:261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Q1806" s="74"/>
      <c r="R1806" s="74"/>
      <c r="S1806" s="74"/>
      <c r="T1806" s="74"/>
      <c r="U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  <c r="IW1806" s="74"/>
      <c r="IX1806" s="74"/>
      <c r="IY1806" s="74"/>
      <c r="IZ1806" s="74"/>
      <c r="JA1806" s="74"/>
    </row>
    <row r="1807" spans="1:261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Q1807" s="74"/>
      <c r="R1807" s="74"/>
      <c r="S1807" s="74"/>
      <c r="T1807" s="74"/>
      <c r="U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  <c r="IW1807" s="74"/>
      <c r="IX1807" s="74"/>
      <c r="IY1807" s="74"/>
      <c r="IZ1807" s="74"/>
      <c r="JA1807" s="74"/>
    </row>
    <row r="1808" spans="1:261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Q1808" s="74"/>
      <c r="R1808" s="74"/>
      <c r="S1808" s="74"/>
      <c r="T1808" s="74"/>
      <c r="U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  <c r="IW1808" s="74"/>
      <c r="IX1808" s="74"/>
      <c r="IY1808" s="74"/>
      <c r="IZ1808" s="74"/>
      <c r="JA1808" s="74"/>
    </row>
    <row r="1809" spans="1:261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Q1809" s="74"/>
      <c r="R1809" s="74"/>
      <c r="S1809" s="74"/>
      <c r="T1809" s="74"/>
      <c r="U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  <c r="IW1809" s="74"/>
      <c r="IX1809" s="74"/>
      <c r="IY1809" s="74"/>
      <c r="IZ1809" s="74"/>
      <c r="JA1809" s="74"/>
    </row>
    <row r="1810" spans="1:261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Q1810" s="74"/>
      <c r="R1810" s="74"/>
      <c r="S1810" s="74"/>
      <c r="T1810" s="74"/>
      <c r="U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  <c r="IW1810" s="74"/>
      <c r="IX1810" s="74"/>
      <c r="IY1810" s="74"/>
      <c r="IZ1810" s="74"/>
      <c r="JA1810" s="74"/>
    </row>
    <row r="1811" spans="1:261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Q1811" s="74"/>
      <c r="R1811" s="74"/>
      <c r="S1811" s="74"/>
      <c r="T1811" s="74"/>
      <c r="U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  <c r="IW1811" s="74"/>
      <c r="IX1811" s="74"/>
      <c r="IY1811" s="74"/>
      <c r="IZ1811" s="74"/>
      <c r="JA1811" s="74"/>
    </row>
    <row r="1812" spans="1:261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Q1812" s="74"/>
      <c r="R1812" s="74"/>
      <c r="S1812" s="74"/>
      <c r="T1812" s="74"/>
      <c r="U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  <c r="IW1812" s="74"/>
      <c r="IX1812" s="74"/>
      <c r="IY1812" s="74"/>
      <c r="IZ1812" s="74"/>
      <c r="JA1812" s="74"/>
    </row>
    <row r="1813" spans="1:261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Q1813" s="74"/>
      <c r="R1813" s="74"/>
      <c r="S1813" s="74"/>
      <c r="T1813" s="74"/>
      <c r="U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  <c r="IW1813" s="74"/>
      <c r="IX1813" s="74"/>
      <c r="IY1813" s="74"/>
      <c r="IZ1813" s="74"/>
      <c r="JA1813" s="74"/>
    </row>
    <row r="1814" spans="1:261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Q1814" s="74"/>
      <c r="R1814" s="74"/>
      <c r="S1814" s="74"/>
      <c r="T1814" s="74"/>
      <c r="U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  <c r="IW1814" s="74"/>
      <c r="IX1814" s="74"/>
      <c r="IY1814" s="74"/>
      <c r="IZ1814" s="74"/>
      <c r="JA1814" s="74"/>
    </row>
    <row r="1815" spans="1:261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Q1815" s="74"/>
      <c r="R1815" s="74"/>
      <c r="S1815" s="74"/>
      <c r="T1815" s="74"/>
      <c r="U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  <c r="IW1815" s="74"/>
      <c r="IX1815" s="74"/>
      <c r="IY1815" s="74"/>
      <c r="IZ1815" s="74"/>
      <c r="JA1815" s="74"/>
    </row>
    <row r="1816" spans="1:261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Q1816" s="74"/>
      <c r="R1816" s="74"/>
      <c r="S1816" s="74"/>
      <c r="T1816" s="74"/>
      <c r="U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  <c r="IW1816" s="74"/>
      <c r="IX1816" s="74"/>
      <c r="IY1816" s="74"/>
      <c r="IZ1816" s="74"/>
      <c r="JA1816" s="74"/>
    </row>
    <row r="1817" spans="1:261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Q1817" s="74"/>
      <c r="R1817" s="74"/>
      <c r="S1817" s="74"/>
      <c r="T1817" s="74"/>
      <c r="U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  <c r="IW1817" s="74"/>
      <c r="IX1817" s="74"/>
      <c r="IY1817" s="74"/>
      <c r="IZ1817" s="74"/>
      <c r="JA1817" s="74"/>
    </row>
    <row r="1818" spans="1:261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Q1818" s="74"/>
      <c r="R1818" s="74"/>
      <c r="S1818" s="74"/>
      <c r="T1818" s="74"/>
      <c r="U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  <c r="IW1818" s="74"/>
      <c r="IX1818" s="74"/>
      <c r="IY1818" s="74"/>
      <c r="IZ1818" s="74"/>
      <c r="JA1818" s="74"/>
    </row>
    <row r="1819" spans="1:261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Q1819" s="74"/>
      <c r="R1819" s="74"/>
      <c r="S1819" s="74"/>
      <c r="T1819" s="74"/>
      <c r="U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  <c r="IW1819" s="74"/>
      <c r="IX1819" s="74"/>
      <c r="IY1819" s="74"/>
      <c r="IZ1819" s="74"/>
      <c r="JA1819" s="74"/>
    </row>
    <row r="1820" spans="1:261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Q1820" s="74"/>
      <c r="R1820" s="74"/>
      <c r="S1820" s="74"/>
      <c r="T1820" s="74"/>
      <c r="U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  <c r="IW1820" s="74"/>
      <c r="IX1820" s="74"/>
      <c r="IY1820" s="74"/>
      <c r="IZ1820" s="74"/>
      <c r="JA1820" s="74"/>
    </row>
    <row r="1821" spans="1:261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Q1821" s="74"/>
      <c r="R1821" s="74"/>
      <c r="S1821" s="74"/>
      <c r="T1821" s="74"/>
      <c r="U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  <c r="IW1821" s="74"/>
      <c r="IX1821" s="74"/>
      <c r="IY1821" s="74"/>
      <c r="IZ1821" s="74"/>
      <c r="JA1821" s="74"/>
    </row>
    <row r="1822" spans="1:261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Q1822" s="74"/>
      <c r="R1822" s="74"/>
      <c r="S1822" s="74"/>
      <c r="T1822" s="74"/>
      <c r="U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  <c r="IW1822" s="74"/>
      <c r="IX1822" s="74"/>
      <c r="IY1822" s="74"/>
      <c r="IZ1822" s="74"/>
      <c r="JA1822" s="74"/>
    </row>
    <row r="1823" spans="1:261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Q1823" s="74"/>
      <c r="R1823" s="74"/>
      <c r="S1823" s="74"/>
      <c r="T1823" s="74"/>
      <c r="U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  <c r="IW1823" s="74"/>
      <c r="IX1823" s="74"/>
      <c r="IY1823" s="74"/>
      <c r="IZ1823" s="74"/>
      <c r="JA1823" s="74"/>
    </row>
    <row r="1824" spans="1:261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Q1824" s="74"/>
      <c r="R1824" s="74"/>
      <c r="S1824" s="74"/>
      <c r="T1824" s="74"/>
      <c r="U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  <c r="IW1824" s="74"/>
      <c r="IX1824" s="74"/>
      <c r="IY1824" s="74"/>
      <c r="IZ1824" s="74"/>
      <c r="JA1824" s="74"/>
    </row>
    <row r="1825" spans="1:261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Q1825" s="74"/>
      <c r="R1825" s="74"/>
      <c r="S1825" s="74"/>
      <c r="T1825" s="74"/>
      <c r="U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  <c r="IW1825" s="74"/>
      <c r="IX1825" s="74"/>
      <c r="IY1825" s="74"/>
      <c r="IZ1825" s="74"/>
      <c r="JA1825" s="74"/>
    </row>
    <row r="1826" spans="1:261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Q1826" s="74"/>
      <c r="R1826" s="74"/>
      <c r="S1826" s="74"/>
      <c r="T1826" s="74"/>
      <c r="U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  <c r="IW1826" s="74"/>
      <c r="IX1826" s="74"/>
      <c r="IY1826" s="74"/>
      <c r="IZ1826" s="74"/>
      <c r="JA1826" s="74"/>
    </row>
    <row r="1827" spans="1:261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Q1827" s="74"/>
      <c r="R1827" s="74"/>
      <c r="S1827" s="74"/>
      <c r="T1827" s="74"/>
      <c r="U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  <c r="IW1827" s="74"/>
      <c r="IX1827" s="74"/>
      <c r="IY1827" s="74"/>
      <c r="IZ1827" s="74"/>
      <c r="JA1827" s="74"/>
    </row>
    <row r="1828" spans="1:261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Q1828" s="74"/>
      <c r="R1828" s="74"/>
      <c r="S1828" s="74"/>
      <c r="T1828" s="74"/>
      <c r="U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  <c r="IW1828" s="74"/>
      <c r="IX1828" s="74"/>
      <c r="IY1828" s="74"/>
      <c r="IZ1828" s="74"/>
      <c r="JA1828" s="74"/>
    </row>
    <row r="1829" spans="1:261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Q1829" s="74"/>
      <c r="R1829" s="74"/>
      <c r="S1829" s="74"/>
      <c r="T1829" s="74"/>
      <c r="U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  <c r="IW1829" s="74"/>
      <c r="IX1829" s="74"/>
      <c r="IY1829" s="74"/>
      <c r="IZ1829" s="74"/>
      <c r="JA1829" s="74"/>
    </row>
    <row r="1830" spans="1:261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Q1830" s="74"/>
      <c r="R1830" s="74"/>
      <c r="S1830" s="74"/>
      <c r="T1830" s="74"/>
      <c r="U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  <c r="IW1830" s="74"/>
      <c r="IX1830" s="74"/>
      <c r="IY1830" s="74"/>
      <c r="IZ1830" s="74"/>
      <c r="JA1830" s="74"/>
    </row>
    <row r="1831" spans="1:261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Q1831" s="74"/>
      <c r="R1831" s="74"/>
      <c r="S1831" s="74"/>
      <c r="T1831" s="74"/>
      <c r="U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  <c r="IW1831" s="74"/>
      <c r="IX1831" s="74"/>
      <c r="IY1831" s="74"/>
      <c r="IZ1831" s="74"/>
      <c r="JA1831" s="74"/>
    </row>
    <row r="1832" spans="1:261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Q1832" s="74"/>
      <c r="R1832" s="74"/>
      <c r="S1832" s="74"/>
      <c r="T1832" s="74"/>
      <c r="U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  <c r="IW1832" s="74"/>
      <c r="IX1832" s="74"/>
      <c r="IY1832" s="74"/>
      <c r="IZ1832" s="74"/>
      <c r="JA1832" s="74"/>
    </row>
    <row r="1833" spans="1:261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Q1833" s="74"/>
      <c r="R1833" s="74"/>
      <c r="S1833" s="74"/>
      <c r="T1833" s="74"/>
      <c r="U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  <c r="IW1833" s="74"/>
      <c r="IX1833" s="74"/>
      <c r="IY1833" s="74"/>
      <c r="IZ1833" s="74"/>
      <c r="JA1833" s="74"/>
    </row>
    <row r="1834" spans="1:261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Q1834" s="74"/>
      <c r="R1834" s="74"/>
      <c r="S1834" s="74"/>
      <c r="T1834" s="74"/>
      <c r="U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  <c r="IW1834" s="74"/>
      <c r="IX1834" s="74"/>
      <c r="IY1834" s="74"/>
      <c r="IZ1834" s="74"/>
      <c r="JA1834" s="74"/>
    </row>
    <row r="1835" spans="1:261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Q1835" s="74"/>
      <c r="R1835" s="74"/>
      <c r="S1835" s="74"/>
      <c r="T1835" s="74"/>
      <c r="U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  <c r="IW1835" s="74"/>
      <c r="IX1835" s="74"/>
      <c r="IY1835" s="74"/>
      <c r="IZ1835" s="74"/>
      <c r="JA1835" s="74"/>
    </row>
    <row r="1836" spans="1:261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Q1836" s="74"/>
      <c r="R1836" s="74"/>
      <c r="S1836" s="74"/>
      <c r="T1836" s="74"/>
      <c r="U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  <c r="IW1836" s="74"/>
      <c r="IX1836" s="74"/>
      <c r="IY1836" s="74"/>
      <c r="IZ1836" s="74"/>
      <c r="JA1836" s="74"/>
    </row>
    <row r="1837" spans="1:261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Q1837" s="74"/>
      <c r="R1837" s="74"/>
      <c r="S1837" s="74"/>
      <c r="T1837" s="74"/>
      <c r="U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  <c r="IW1837" s="74"/>
      <c r="IX1837" s="74"/>
      <c r="IY1837" s="74"/>
      <c r="IZ1837" s="74"/>
      <c r="JA1837" s="74"/>
    </row>
    <row r="1838" spans="1:261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Q1838" s="74"/>
      <c r="R1838" s="74"/>
      <c r="S1838" s="74"/>
      <c r="T1838" s="74"/>
      <c r="U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  <c r="IW1838" s="74"/>
      <c r="IX1838" s="74"/>
      <c r="IY1838" s="74"/>
      <c r="IZ1838" s="74"/>
      <c r="JA1838" s="74"/>
    </row>
    <row r="1839" spans="1:261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Q1839" s="74"/>
      <c r="R1839" s="74"/>
      <c r="S1839" s="74"/>
      <c r="T1839" s="74"/>
      <c r="U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  <c r="IW1839" s="74"/>
      <c r="IX1839" s="74"/>
      <c r="IY1839" s="74"/>
      <c r="IZ1839" s="74"/>
      <c r="JA1839" s="74"/>
    </row>
    <row r="1840" spans="1:261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Q1840" s="74"/>
      <c r="R1840" s="74"/>
      <c r="S1840" s="74"/>
      <c r="T1840" s="74"/>
      <c r="U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  <c r="IW1840" s="74"/>
      <c r="IX1840" s="74"/>
      <c r="IY1840" s="74"/>
      <c r="IZ1840" s="74"/>
      <c r="JA1840" s="74"/>
    </row>
    <row r="1841" spans="1:261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Q1841" s="74"/>
      <c r="R1841" s="74"/>
      <c r="S1841" s="74"/>
      <c r="T1841" s="74"/>
      <c r="U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  <c r="IW1841" s="74"/>
      <c r="IX1841" s="74"/>
      <c r="IY1841" s="74"/>
      <c r="IZ1841" s="74"/>
      <c r="JA1841" s="74"/>
    </row>
    <row r="1842" spans="1:261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Q1842" s="74"/>
      <c r="R1842" s="74"/>
      <c r="S1842" s="74"/>
      <c r="T1842" s="74"/>
      <c r="U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  <c r="IW1842" s="74"/>
      <c r="IX1842" s="74"/>
      <c r="IY1842" s="74"/>
      <c r="IZ1842" s="74"/>
      <c r="JA1842" s="74"/>
    </row>
    <row r="1843" spans="1:261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Q1843" s="74"/>
      <c r="R1843" s="74"/>
      <c r="S1843" s="74"/>
      <c r="T1843" s="74"/>
      <c r="U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  <c r="IW1843" s="74"/>
      <c r="IX1843" s="74"/>
      <c r="IY1843" s="74"/>
      <c r="IZ1843" s="74"/>
      <c r="JA1843" s="74"/>
    </row>
    <row r="1844" spans="1:261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Q1844" s="74"/>
      <c r="R1844" s="74"/>
      <c r="S1844" s="74"/>
      <c r="T1844" s="74"/>
      <c r="U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  <c r="IW1844" s="74"/>
      <c r="IX1844" s="74"/>
      <c r="IY1844" s="74"/>
      <c r="IZ1844" s="74"/>
      <c r="JA1844" s="74"/>
    </row>
    <row r="1845" spans="1:261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Q1845" s="74"/>
      <c r="R1845" s="74"/>
      <c r="S1845" s="74"/>
      <c r="T1845" s="74"/>
      <c r="U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  <c r="IW1845" s="74"/>
      <c r="IX1845" s="74"/>
      <c r="IY1845" s="74"/>
      <c r="IZ1845" s="74"/>
      <c r="JA1845" s="74"/>
    </row>
    <row r="1846" spans="1:261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  <c r="U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  <c r="IW1846" s="74"/>
      <c r="IX1846" s="74"/>
      <c r="IY1846" s="74"/>
      <c r="IZ1846" s="74"/>
      <c r="JA1846" s="74"/>
    </row>
    <row r="1847" spans="1:261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  <c r="U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  <c r="IW1847" s="74"/>
      <c r="IX1847" s="74"/>
      <c r="IY1847" s="74"/>
      <c r="IZ1847" s="74"/>
      <c r="JA1847" s="74"/>
    </row>
    <row r="1848" spans="1:261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Q1848" s="74"/>
      <c r="R1848" s="74"/>
      <c r="S1848" s="74"/>
      <c r="T1848" s="74"/>
      <c r="U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  <c r="IW1848" s="74"/>
      <c r="IX1848" s="74"/>
      <c r="IY1848" s="74"/>
      <c r="IZ1848" s="74"/>
      <c r="JA1848" s="74"/>
    </row>
    <row r="1849" spans="1:261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Q1849" s="74"/>
      <c r="R1849" s="74"/>
      <c r="S1849" s="74"/>
      <c r="T1849" s="74"/>
      <c r="U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  <c r="IW1849" s="74"/>
      <c r="IX1849" s="74"/>
      <c r="IY1849" s="74"/>
      <c r="IZ1849" s="74"/>
      <c r="JA1849" s="74"/>
    </row>
    <row r="1850" spans="1:261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Q1850" s="74"/>
      <c r="R1850" s="74"/>
      <c r="S1850" s="74"/>
      <c r="T1850" s="74"/>
      <c r="U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  <c r="IW1850" s="74"/>
      <c r="IX1850" s="74"/>
      <c r="IY1850" s="74"/>
      <c r="IZ1850" s="74"/>
      <c r="JA1850" s="74"/>
    </row>
    <row r="1851" spans="1:261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Q1851" s="74"/>
      <c r="R1851" s="74"/>
      <c r="S1851" s="74"/>
      <c r="T1851" s="74"/>
      <c r="U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  <c r="IW1851" s="74"/>
      <c r="IX1851" s="74"/>
      <c r="IY1851" s="74"/>
      <c r="IZ1851" s="74"/>
      <c r="JA1851" s="74"/>
    </row>
    <row r="1852" spans="1:261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Q1852" s="74"/>
      <c r="R1852" s="74"/>
      <c r="S1852" s="74"/>
      <c r="T1852" s="74"/>
      <c r="U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  <c r="IW1852" s="74"/>
      <c r="IX1852" s="74"/>
      <c r="IY1852" s="74"/>
      <c r="IZ1852" s="74"/>
      <c r="JA1852" s="74"/>
    </row>
    <row r="1853" spans="1:261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Q1853" s="74"/>
      <c r="R1853" s="74"/>
      <c r="S1853" s="74"/>
      <c r="T1853" s="74"/>
      <c r="U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  <c r="IW1853" s="74"/>
      <c r="IX1853" s="74"/>
      <c r="IY1853" s="74"/>
      <c r="IZ1853" s="74"/>
      <c r="JA1853" s="74"/>
    </row>
    <row r="1854" spans="1:261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Q1854" s="74"/>
      <c r="R1854" s="74"/>
      <c r="S1854" s="74"/>
      <c r="T1854" s="74"/>
      <c r="U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  <c r="IW1854" s="74"/>
      <c r="IX1854" s="74"/>
      <c r="IY1854" s="74"/>
      <c r="IZ1854" s="74"/>
      <c r="JA1854" s="74"/>
    </row>
    <row r="1855" spans="1:261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Q1855" s="74"/>
      <c r="R1855" s="74"/>
      <c r="S1855" s="74"/>
      <c r="T1855" s="74"/>
      <c r="U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  <c r="IW1855" s="74"/>
      <c r="IX1855" s="74"/>
      <c r="IY1855" s="74"/>
      <c r="IZ1855" s="74"/>
      <c r="JA1855" s="74"/>
    </row>
    <row r="1856" spans="1:261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Q1856" s="74"/>
      <c r="R1856" s="74"/>
      <c r="S1856" s="74"/>
      <c r="T1856" s="74"/>
      <c r="U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  <c r="IW1856" s="74"/>
      <c r="IX1856" s="74"/>
      <c r="IY1856" s="74"/>
      <c r="IZ1856" s="74"/>
      <c r="JA1856" s="74"/>
    </row>
    <row r="1857" spans="1:261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Q1857" s="74"/>
      <c r="R1857" s="74"/>
      <c r="S1857" s="74"/>
      <c r="T1857" s="74"/>
      <c r="U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  <c r="IW1857" s="74"/>
      <c r="IX1857" s="74"/>
      <c r="IY1857" s="74"/>
      <c r="IZ1857" s="74"/>
      <c r="JA1857" s="74"/>
    </row>
    <row r="1858" spans="1:261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Q1858" s="74"/>
      <c r="R1858" s="74"/>
      <c r="S1858" s="74"/>
      <c r="T1858" s="74"/>
      <c r="U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  <c r="IW1858" s="74"/>
      <c r="IX1858" s="74"/>
      <c r="IY1858" s="74"/>
      <c r="IZ1858" s="74"/>
      <c r="JA1858" s="74"/>
    </row>
    <row r="1859" spans="1:261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Q1859" s="74"/>
      <c r="R1859" s="74"/>
      <c r="S1859" s="74"/>
      <c r="T1859" s="74"/>
      <c r="U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  <c r="IW1859" s="74"/>
      <c r="IX1859" s="74"/>
      <c r="IY1859" s="74"/>
      <c r="IZ1859" s="74"/>
      <c r="JA1859" s="74"/>
    </row>
    <row r="1860" spans="1:261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Q1860" s="74"/>
      <c r="R1860" s="74"/>
      <c r="S1860" s="74"/>
      <c r="T1860" s="74"/>
      <c r="U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  <c r="IW1860" s="74"/>
      <c r="IX1860" s="74"/>
      <c r="IY1860" s="74"/>
      <c r="IZ1860" s="74"/>
      <c r="JA1860" s="74"/>
    </row>
    <row r="1861" spans="1:261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Q1861" s="74"/>
      <c r="R1861" s="74"/>
      <c r="S1861" s="74"/>
      <c r="T1861" s="74"/>
      <c r="U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  <c r="IW1861" s="74"/>
      <c r="IX1861" s="74"/>
      <c r="IY1861" s="74"/>
      <c r="IZ1861" s="74"/>
      <c r="JA1861" s="74"/>
    </row>
    <row r="1862" spans="1:261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Q1862" s="74"/>
      <c r="R1862" s="74"/>
      <c r="S1862" s="74"/>
      <c r="T1862" s="74"/>
      <c r="U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  <c r="IW1862" s="74"/>
      <c r="IX1862" s="74"/>
      <c r="IY1862" s="74"/>
      <c r="IZ1862" s="74"/>
      <c r="JA1862" s="74"/>
    </row>
    <row r="1863" spans="1:261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Q1863" s="74"/>
      <c r="R1863" s="74"/>
      <c r="S1863" s="74"/>
      <c r="T1863" s="74"/>
      <c r="U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  <c r="IW1863" s="74"/>
      <c r="IX1863" s="74"/>
      <c r="IY1863" s="74"/>
      <c r="IZ1863" s="74"/>
      <c r="JA1863" s="74"/>
    </row>
    <row r="1864" spans="1:261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Q1864" s="74"/>
      <c r="R1864" s="74"/>
      <c r="S1864" s="74"/>
      <c r="T1864" s="74"/>
      <c r="U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  <c r="IW1864" s="74"/>
      <c r="IX1864" s="74"/>
      <c r="IY1864" s="74"/>
      <c r="IZ1864" s="74"/>
      <c r="JA1864" s="74"/>
    </row>
    <row r="1865" spans="1:261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Q1865" s="74"/>
      <c r="R1865" s="74"/>
      <c r="S1865" s="74"/>
      <c r="T1865" s="74"/>
      <c r="U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  <c r="IW1865" s="74"/>
      <c r="IX1865" s="74"/>
      <c r="IY1865" s="74"/>
      <c r="IZ1865" s="74"/>
      <c r="JA1865" s="74"/>
    </row>
    <row r="1866" spans="1:261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Q1866" s="74"/>
      <c r="R1866" s="74"/>
      <c r="S1866" s="74"/>
      <c r="T1866" s="74"/>
      <c r="U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  <c r="IW1866" s="74"/>
      <c r="IX1866" s="74"/>
      <c r="IY1866" s="74"/>
      <c r="IZ1866" s="74"/>
      <c r="JA1866" s="74"/>
    </row>
    <row r="1867" spans="1:261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Q1867" s="74"/>
      <c r="R1867" s="74"/>
      <c r="S1867" s="74"/>
      <c r="T1867" s="74"/>
      <c r="U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  <c r="IW1867" s="74"/>
      <c r="IX1867" s="74"/>
      <c r="IY1867" s="74"/>
      <c r="IZ1867" s="74"/>
      <c r="JA1867" s="74"/>
    </row>
    <row r="1868" spans="1:261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Q1868" s="74"/>
      <c r="R1868" s="74"/>
      <c r="S1868" s="74"/>
      <c r="T1868" s="74"/>
      <c r="U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  <c r="IW1868" s="74"/>
      <c r="IX1868" s="74"/>
      <c r="IY1868" s="74"/>
      <c r="IZ1868" s="74"/>
      <c r="JA1868" s="74"/>
    </row>
    <row r="1869" spans="1:261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Q1869" s="74"/>
      <c r="R1869" s="74"/>
      <c r="S1869" s="74"/>
      <c r="T1869" s="74"/>
      <c r="U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  <c r="IW1869" s="74"/>
      <c r="IX1869" s="74"/>
      <c r="IY1869" s="74"/>
      <c r="IZ1869" s="74"/>
      <c r="JA1869" s="74"/>
    </row>
    <row r="1870" spans="1:261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Q1870" s="74"/>
      <c r="R1870" s="74"/>
      <c r="S1870" s="74"/>
      <c r="T1870" s="74"/>
      <c r="U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  <c r="IW1870" s="74"/>
      <c r="IX1870" s="74"/>
      <c r="IY1870" s="74"/>
      <c r="IZ1870" s="74"/>
      <c r="JA1870" s="74"/>
    </row>
    <row r="1871" spans="1:261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Q1871" s="74"/>
      <c r="R1871" s="74"/>
      <c r="S1871" s="74"/>
      <c r="T1871" s="74"/>
      <c r="U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  <c r="IW1871" s="74"/>
      <c r="IX1871" s="74"/>
      <c r="IY1871" s="74"/>
      <c r="IZ1871" s="74"/>
      <c r="JA1871" s="74"/>
    </row>
    <row r="1872" spans="1:261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Q1872" s="74"/>
      <c r="R1872" s="74"/>
      <c r="S1872" s="74"/>
      <c r="T1872" s="74"/>
      <c r="U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  <c r="IW1872" s="74"/>
      <c r="IX1872" s="74"/>
      <c r="IY1872" s="74"/>
      <c r="IZ1872" s="74"/>
      <c r="JA1872" s="74"/>
    </row>
    <row r="1873" spans="1:261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Q1873" s="74"/>
      <c r="R1873" s="74"/>
      <c r="S1873" s="74"/>
      <c r="T1873" s="74"/>
      <c r="U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  <c r="IW1873" s="74"/>
      <c r="IX1873" s="74"/>
      <c r="IY1873" s="74"/>
      <c r="IZ1873" s="74"/>
      <c r="JA1873" s="74"/>
    </row>
    <row r="1874" spans="1:261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Q1874" s="74"/>
      <c r="R1874" s="74"/>
      <c r="S1874" s="74"/>
      <c r="T1874" s="74"/>
      <c r="U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  <c r="IW1874" s="74"/>
      <c r="IX1874" s="74"/>
      <c r="IY1874" s="74"/>
      <c r="IZ1874" s="74"/>
      <c r="JA1874" s="74"/>
    </row>
    <row r="1875" spans="1:261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Q1875" s="74"/>
      <c r="R1875" s="74"/>
      <c r="S1875" s="74"/>
      <c r="T1875" s="74"/>
      <c r="U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  <c r="IW1875" s="74"/>
      <c r="IX1875" s="74"/>
      <c r="IY1875" s="74"/>
      <c r="IZ1875" s="74"/>
      <c r="JA1875" s="74"/>
    </row>
    <row r="1876" spans="1:261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Q1876" s="74"/>
      <c r="R1876" s="74"/>
      <c r="S1876" s="74"/>
      <c r="T1876" s="74"/>
      <c r="U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  <c r="IW1876" s="74"/>
      <c r="IX1876" s="74"/>
      <c r="IY1876" s="74"/>
      <c r="IZ1876" s="74"/>
      <c r="JA1876" s="74"/>
    </row>
    <row r="1877" spans="1:261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Q1877" s="74"/>
      <c r="R1877" s="74"/>
      <c r="S1877" s="74"/>
      <c r="T1877" s="74"/>
      <c r="U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  <c r="IW1877" s="74"/>
      <c r="IX1877" s="74"/>
      <c r="IY1877" s="74"/>
      <c r="IZ1877" s="74"/>
      <c r="JA1877" s="74"/>
    </row>
    <row r="1878" spans="1:261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Q1878" s="74"/>
      <c r="R1878" s="74"/>
      <c r="S1878" s="74"/>
      <c r="T1878" s="74"/>
      <c r="U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  <c r="IW1878" s="74"/>
      <c r="IX1878" s="74"/>
      <c r="IY1878" s="74"/>
      <c r="IZ1878" s="74"/>
      <c r="JA1878" s="74"/>
    </row>
    <row r="1879" spans="1:261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Q1879" s="74"/>
      <c r="R1879" s="74"/>
      <c r="S1879" s="74"/>
      <c r="T1879" s="74"/>
      <c r="U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  <c r="IW1879" s="74"/>
      <c r="IX1879" s="74"/>
      <c r="IY1879" s="74"/>
      <c r="IZ1879" s="74"/>
      <c r="JA1879" s="74"/>
    </row>
    <row r="1880" spans="1:261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Q1880" s="74"/>
      <c r="R1880" s="74"/>
      <c r="S1880" s="74"/>
      <c r="T1880" s="74"/>
      <c r="U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  <c r="IW1880" s="74"/>
      <c r="IX1880" s="74"/>
      <c r="IY1880" s="74"/>
      <c r="IZ1880" s="74"/>
      <c r="JA1880" s="74"/>
    </row>
    <row r="1881" spans="1:261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Q1881" s="74"/>
      <c r="R1881" s="74"/>
      <c r="S1881" s="74"/>
      <c r="T1881" s="74"/>
      <c r="U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  <c r="IW1881" s="74"/>
      <c r="IX1881" s="74"/>
      <c r="IY1881" s="74"/>
      <c r="IZ1881" s="74"/>
      <c r="JA1881" s="74"/>
    </row>
    <row r="1882" spans="1:261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Q1882" s="74"/>
      <c r="R1882" s="74"/>
      <c r="S1882" s="74"/>
      <c r="T1882" s="74"/>
      <c r="U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  <c r="IW1882" s="74"/>
      <c r="IX1882" s="74"/>
      <c r="IY1882" s="74"/>
      <c r="IZ1882" s="74"/>
      <c r="JA1882" s="74"/>
    </row>
    <row r="1883" spans="1:261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Q1883" s="74"/>
      <c r="R1883" s="74"/>
      <c r="S1883" s="74"/>
      <c r="T1883" s="74"/>
      <c r="U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  <c r="IW1883" s="74"/>
      <c r="IX1883" s="74"/>
      <c r="IY1883" s="74"/>
      <c r="IZ1883" s="74"/>
      <c r="JA1883" s="74"/>
    </row>
    <row r="1884" spans="1:261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Q1884" s="74"/>
      <c r="R1884" s="74"/>
      <c r="S1884" s="74"/>
      <c r="T1884" s="74"/>
      <c r="U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  <c r="IW1884" s="74"/>
      <c r="IX1884" s="74"/>
      <c r="IY1884" s="74"/>
      <c r="IZ1884" s="74"/>
      <c r="JA1884" s="74"/>
    </row>
    <row r="1885" spans="1:261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Q1885" s="74"/>
      <c r="R1885" s="74"/>
      <c r="S1885" s="74"/>
      <c r="T1885" s="74"/>
      <c r="U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  <c r="IW1885" s="74"/>
      <c r="IX1885" s="74"/>
      <c r="IY1885" s="74"/>
      <c r="IZ1885" s="74"/>
      <c r="JA1885" s="74"/>
    </row>
    <row r="1886" spans="1:261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Q1886" s="74"/>
      <c r="R1886" s="74"/>
      <c r="S1886" s="74"/>
      <c r="T1886" s="74"/>
      <c r="U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  <c r="IW1886" s="74"/>
      <c r="IX1886" s="74"/>
      <c r="IY1886" s="74"/>
      <c r="IZ1886" s="74"/>
      <c r="JA1886" s="74"/>
    </row>
    <row r="1887" spans="1:261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Q1887" s="74"/>
      <c r="R1887" s="74"/>
      <c r="S1887" s="74"/>
      <c r="T1887" s="74"/>
      <c r="U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  <c r="IW1887" s="74"/>
      <c r="IX1887" s="74"/>
      <c r="IY1887" s="74"/>
      <c r="IZ1887" s="74"/>
      <c r="JA1887" s="74"/>
    </row>
    <row r="1888" spans="1:261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Q1888" s="74"/>
      <c r="R1888" s="74"/>
      <c r="S1888" s="74"/>
      <c r="T1888" s="74"/>
      <c r="U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  <c r="IW1888" s="74"/>
      <c r="IX1888" s="74"/>
      <c r="IY1888" s="74"/>
      <c r="IZ1888" s="74"/>
      <c r="JA1888" s="74"/>
    </row>
    <row r="1889" spans="1:261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Q1889" s="74"/>
      <c r="R1889" s="74"/>
      <c r="S1889" s="74"/>
      <c r="T1889" s="74"/>
      <c r="U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  <c r="IW1889" s="74"/>
      <c r="IX1889" s="74"/>
      <c r="IY1889" s="74"/>
      <c r="IZ1889" s="74"/>
      <c r="JA1889" s="74"/>
    </row>
    <row r="1890" spans="1:261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Q1890" s="74"/>
      <c r="R1890" s="74"/>
      <c r="S1890" s="74"/>
      <c r="T1890" s="74"/>
      <c r="U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  <c r="IW1890" s="74"/>
      <c r="IX1890" s="74"/>
      <c r="IY1890" s="74"/>
      <c r="IZ1890" s="74"/>
      <c r="JA1890" s="74"/>
    </row>
    <row r="1891" spans="1:261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  <c r="U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  <c r="IW1891" s="74"/>
      <c r="IX1891" s="74"/>
      <c r="IY1891" s="74"/>
      <c r="IZ1891" s="74"/>
      <c r="JA1891" s="74"/>
    </row>
    <row r="1892" spans="1:261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  <c r="U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  <c r="IW1892" s="74"/>
      <c r="IX1892" s="74"/>
      <c r="IY1892" s="74"/>
      <c r="IZ1892" s="74"/>
      <c r="JA1892" s="74"/>
    </row>
    <row r="1893" spans="1:261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Q1893" s="74"/>
      <c r="R1893" s="74"/>
      <c r="S1893" s="74"/>
      <c r="T1893" s="74"/>
      <c r="U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  <c r="IW1893" s="74"/>
      <c r="IX1893" s="74"/>
      <c r="IY1893" s="74"/>
      <c r="IZ1893" s="74"/>
      <c r="JA1893" s="74"/>
    </row>
    <row r="1894" spans="1:261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Q1894" s="74"/>
      <c r="R1894" s="74"/>
      <c r="S1894" s="74"/>
      <c r="T1894" s="74"/>
      <c r="U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  <c r="IW1894" s="74"/>
      <c r="IX1894" s="74"/>
      <c r="IY1894" s="74"/>
      <c r="IZ1894" s="74"/>
      <c r="JA1894" s="74"/>
    </row>
    <row r="1895" spans="1:261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Q1895" s="74"/>
      <c r="R1895" s="74"/>
      <c r="S1895" s="74"/>
      <c r="T1895" s="74"/>
      <c r="U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  <c r="IW1895" s="74"/>
      <c r="IX1895" s="74"/>
      <c r="IY1895" s="74"/>
      <c r="IZ1895" s="74"/>
      <c r="JA1895" s="74"/>
    </row>
    <row r="1896" spans="1:261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Q1896" s="74"/>
      <c r="R1896" s="74"/>
      <c r="S1896" s="74"/>
      <c r="T1896" s="74"/>
      <c r="U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  <c r="IW1896" s="74"/>
      <c r="IX1896" s="74"/>
      <c r="IY1896" s="74"/>
      <c r="IZ1896" s="74"/>
      <c r="JA1896" s="74"/>
    </row>
    <row r="1897" spans="1:261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Q1897" s="74"/>
      <c r="R1897" s="74"/>
      <c r="S1897" s="74"/>
      <c r="T1897" s="74"/>
      <c r="U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  <c r="IW1897" s="74"/>
      <c r="IX1897" s="74"/>
      <c r="IY1897" s="74"/>
      <c r="IZ1897" s="74"/>
      <c r="JA1897" s="74"/>
    </row>
    <row r="1898" spans="1:261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Q1898" s="74"/>
      <c r="R1898" s="74"/>
      <c r="S1898" s="74"/>
      <c r="T1898" s="74"/>
      <c r="U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  <c r="IW1898" s="74"/>
      <c r="IX1898" s="74"/>
      <c r="IY1898" s="74"/>
      <c r="IZ1898" s="74"/>
      <c r="JA1898" s="74"/>
    </row>
    <row r="1899" spans="1:261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Q1899" s="74"/>
      <c r="R1899" s="74"/>
      <c r="S1899" s="74"/>
      <c r="T1899" s="74"/>
      <c r="U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  <c r="IW1899" s="74"/>
      <c r="IX1899" s="74"/>
      <c r="IY1899" s="74"/>
      <c r="IZ1899" s="74"/>
      <c r="JA1899" s="74"/>
    </row>
    <row r="1900" spans="1:261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Q1900" s="74"/>
      <c r="R1900" s="74"/>
      <c r="S1900" s="74"/>
      <c r="T1900" s="74"/>
      <c r="U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  <c r="IW1900" s="74"/>
      <c r="IX1900" s="74"/>
      <c r="IY1900" s="74"/>
      <c r="IZ1900" s="74"/>
      <c r="JA1900" s="74"/>
    </row>
    <row r="1901" spans="1:261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Q1901" s="74"/>
      <c r="R1901" s="74"/>
      <c r="S1901" s="74"/>
      <c r="T1901" s="74"/>
      <c r="U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  <c r="IW1901" s="74"/>
      <c r="IX1901" s="74"/>
      <c r="IY1901" s="74"/>
      <c r="IZ1901" s="74"/>
      <c r="JA1901" s="74"/>
    </row>
    <row r="1902" spans="1:261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Q1902" s="74"/>
      <c r="R1902" s="74"/>
      <c r="S1902" s="74"/>
      <c r="T1902" s="74"/>
      <c r="U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  <c r="IW1902" s="74"/>
      <c r="IX1902" s="74"/>
      <c r="IY1902" s="74"/>
      <c r="IZ1902" s="74"/>
      <c r="JA1902" s="74"/>
    </row>
    <row r="1903" spans="1:261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Q1903" s="74"/>
      <c r="R1903" s="74"/>
      <c r="S1903" s="74"/>
      <c r="T1903" s="74"/>
      <c r="U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  <c r="IW1903" s="74"/>
      <c r="IX1903" s="74"/>
      <c r="IY1903" s="74"/>
      <c r="IZ1903" s="74"/>
      <c r="JA1903" s="74"/>
    </row>
    <row r="1904" spans="1:261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Q1904" s="74"/>
      <c r="R1904" s="74"/>
      <c r="S1904" s="74"/>
      <c r="T1904" s="74"/>
      <c r="U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  <c r="IW1904" s="74"/>
      <c r="IX1904" s="74"/>
      <c r="IY1904" s="74"/>
      <c r="IZ1904" s="74"/>
      <c r="JA1904" s="74"/>
    </row>
    <row r="1905" spans="1:261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Q1905" s="74"/>
      <c r="R1905" s="74"/>
      <c r="S1905" s="74"/>
      <c r="T1905" s="74"/>
      <c r="U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  <c r="IW1905" s="74"/>
      <c r="IX1905" s="74"/>
      <c r="IY1905" s="74"/>
      <c r="IZ1905" s="74"/>
      <c r="JA1905" s="74"/>
    </row>
    <row r="1906" spans="1:261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Q1906" s="74"/>
      <c r="R1906" s="74"/>
      <c r="S1906" s="74"/>
      <c r="T1906" s="74"/>
      <c r="U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  <c r="IW1906" s="74"/>
      <c r="IX1906" s="74"/>
      <c r="IY1906" s="74"/>
      <c r="IZ1906" s="74"/>
      <c r="JA1906" s="74"/>
    </row>
    <row r="1907" spans="1:261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Q1907" s="74"/>
      <c r="R1907" s="74"/>
      <c r="S1907" s="74"/>
      <c r="T1907" s="74"/>
      <c r="U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  <c r="IW1907" s="74"/>
      <c r="IX1907" s="74"/>
      <c r="IY1907" s="74"/>
      <c r="IZ1907" s="74"/>
      <c r="JA1907" s="74"/>
    </row>
    <row r="1908" spans="1:261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Q1908" s="74"/>
      <c r="R1908" s="74"/>
      <c r="S1908" s="74"/>
      <c r="T1908" s="74"/>
      <c r="U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  <c r="IW1908" s="74"/>
      <c r="IX1908" s="74"/>
      <c r="IY1908" s="74"/>
      <c r="IZ1908" s="74"/>
      <c r="JA1908" s="74"/>
    </row>
    <row r="1909" spans="1:261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Q1909" s="74"/>
      <c r="R1909" s="74"/>
      <c r="S1909" s="74"/>
      <c r="T1909" s="74"/>
      <c r="U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  <c r="IW1909" s="74"/>
      <c r="IX1909" s="74"/>
      <c r="IY1909" s="74"/>
      <c r="IZ1909" s="74"/>
      <c r="JA1909" s="74"/>
    </row>
    <row r="1910" spans="1:261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Q1910" s="74"/>
      <c r="R1910" s="74"/>
      <c r="S1910" s="74"/>
      <c r="T1910" s="74"/>
      <c r="U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  <c r="IW1910" s="74"/>
      <c r="IX1910" s="74"/>
      <c r="IY1910" s="74"/>
      <c r="IZ1910" s="74"/>
      <c r="JA1910" s="74"/>
    </row>
    <row r="1911" spans="1:261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Q1911" s="74"/>
      <c r="R1911" s="74"/>
      <c r="S1911" s="74"/>
      <c r="T1911" s="74"/>
      <c r="U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  <c r="IW1911" s="74"/>
      <c r="IX1911" s="74"/>
      <c r="IY1911" s="74"/>
      <c r="IZ1911" s="74"/>
      <c r="JA1911" s="74"/>
    </row>
    <row r="1912" spans="1:261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Q1912" s="74"/>
      <c r="R1912" s="74"/>
      <c r="S1912" s="74"/>
      <c r="T1912" s="74"/>
      <c r="U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  <c r="IW1912" s="74"/>
      <c r="IX1912" s="74"/>
      <c r="IY1912" s="74"/>
      <c r="IZ1912" s="74"/>
      <c r="JA1912" s="74"/>
    </row>
    <row r="1913" spans="1:261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Q1913" s="74"/>
      <c r="R1913" s="74"/>
      <c r="S1913" s="74"/>
      <c r="T1913" s="74"/>
      <c r="U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  <c r="IW1913" s="74"/>
      <c r="IX1913" s="74"/>
      <c r="IY1913" s="74"/>
      <c r="IZ1913" s="74"/>
      <c r="JA1913" s="74"/>
    </row>
    <row r="1914" spans="1:261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Q1914" s="74"/>
      <c r="R1914" s="74"/>
      <c r="S1914" s="74"/>
      <c r="T1914" s="74"/>
      <c r="U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  <c r="IW1914" s="74"/>
      <c r="IX1914" s="74"/>
      <c r="IY1914" s="74"/>
      <c r="IZ1914" s="74"/>
      <c r="JA1914" s="74"/>
    </row>
    <row r="1915" spans="1:261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Q1915" s="74"/>
      <c r="R1915" s="74"/>
      <c r="S1915" s="74"/>
      <c r="T1915" s="74"/>
      <c r="U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  <c r="IW1915" s="74"/>
      <c r="IX1915" s="74"/>
      <c r="IY1915" s="74"/>
      <c r="IZ1915" s="74"/>
      <c r="JA1915" s="74"/>
    </row>
    <row r="1916" spans="1:261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Q1916" s="74"/>
      <c r="R1916" s="74"/>
      <c r="S1916" s="74"/>
      <c r="T1916" s="74"/>
      <c r="U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  <c r="IW1916" s="74"/>
      <c r="IX1916" s="74"/>
      <c r="IY1916" s="74"/>
      <c r="IZ1916" s="74"/>
      <c r="JA1916" s="74"/>
    </row>
    <row r="1917" spans="1:261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Q1917" s="74"/>
      <c r="R1917" s="74"/>
      <c r="S1917" s="74"/>
      <c r="T1917" s="74"/>
      <c r="U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  <c r="IW1917" s="74"/>
      <c r="IX1917" s="74"/>
      <c r="IY1917" s="74"/>
      <c r="IZ1917" s="74"/>
      <c r="JA1917" s="74"/>
    </row>
    <row r="1918" spans="1:261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Q1918" s="74"/>
      <c r="R1918" s="74"/>
      <c r="S1918" s="74"/>
      <c r="T1918" s="74"/>
      <c r="U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  <c r="IW1918" s="74"/>
      <c r="IX1918" s="74"/>
      <c r="IY1918" s="74"/>
      <c r="IZ1918" s="74"/>
      <c r="JA1918" s="74"/>
    </row>
    <row r="1919" spans="1:261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Q1919" s="74"/>
      <c r="R1919" s="74"/>
      <c r="S1919" s="74"/>
      <c r="T1919" s="74"/>
      <c r="U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  <c r="IW1919" s="74"/>
      <c r="IX1919" s="74"/>
      <c r="IY1919" s="74"/>
      <c r="IZ1919" s="74"/>
      <c r="JA1919" s="74"/>
    </row>
    <row r="1920" spans="1:261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Q1920" s="74"/>
      <c r="R1920" s="74"/>
      <c r="S1920" s="74"/>
      <c r="T1920" s="74"/>
      <c r="U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  <c r="IW1920" s="74"/>
      <c r="IX1920" s="74"/>
      <c r="IY1920" s="74"/>
      <c r="IZ1920" s="74"/>
      <c r="JA1920" s="74"/>
    </row>
    <row r="1921" spans="1:261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Q1921" s="74"/>
      <c r="R1921" s="74"/>
      <c r="S1921" s="74"/>
      <c r="T1921" s="74"/>
      <c r="U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  <c r="IW1921" s="74"/>
      <c r="IX1921" s="74"/>
      <c r="IY1921" s="74"/>
      <c r="IZ1921" s="74"/>
      <c r="JA1921" s="74"/>
    </row>
    <row r="1922" spans="1:261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Q1922" s="74"/>
      <c r="R1922" s="74"/>
      <c r="S1922" s="74"/>
      <c r="T1922" s="74"/>
      <c r="U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  <c r="IW1922" s="74"/>
      <c r="IX1922" s="74"/>
      <c r="IY1922" s="74"/>
      <c r="IZ1922" s="74"/>
      <c r="JA1922" s="74"/>
    </row>
    <row r="1923" spans="1:261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Q1923" s="74"/>
      <c r="R1923" s="74"/>
      <c r="S1923" s="74"/>
      <c r="T1923" s="74"/>
      <c r="U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  <c r="IW1923" s="74"/>
      <c r="IX1923" s="74"/>
      <c r="IY1923" s="74"/>
      <c r="IZ1923" s="74"/>
      <c r="JA1923" s="74"/>
    </row>
    <row r="1924" spans="1:261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Q1924" s="74"/>
      <c r="R1924" s="74"/>
      <c r="S1924" s="74"/>
      <c r="T1924" s="74"/>
      <c r="U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  <c r="IW1924" s="74"/>
      <c r="IX1924" s="74"/>
      <c r="IY1924" s="74"/>
      <c r="IZ1924" s="74"/>
      <c r="JA1924" s="74"/>
    </row>
    <row r="1925" spans="1:261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Q1925" s="74"/>
      <c r="R1925" s="74"/>
      <c r="S1925" s="74"/>
      <c r="T1925" s="74"/>
      <c r="U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  <c r="IW1925" s="74"/>
      <c r="IX1925" s="74"/>
      <c r="IY1925" s="74"/>
      <c r="IZ1925" s="74"/>
      <c r="JA1925" s="74"/>
    </row>
    <row r="1926" spans="1:261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Q1926" s="74"/>
      <c r="R1926" s="74"/>
      <c r="S1926" s="74"/>
      <c r="T1926" s="74"/>
      <c r="U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  <c r="IW1926" s="74"/>
      <c r="IX1926" s="74"/>
      <c r="IY1926" s="74"/>
      <c r="IZ1926" s="74"/>
      <c r="JA1926" s="74"/>
    </row>
    <row r="1927" spans="1:261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Q1927" s="74"/>
      <c r="R1927" s="74"/>
      <c r="S1927" s="74"/>
      <c r="T1927" s="74"/>
      <c r="U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  <c r="IW1927" s="74"/>
      <c r="IX1927" s="74"/>
      <c r="IY1927" s="74"/>
      <c r="IZ1927" s="74"/>
      <c r="JA1927" s="74"/>
    </row>
    <row r="1928" spans="1:261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Q1928" s="74"/>
      <c r="R1928" s="74"/>
      <c r="S1928" s="74"/>
      <c r="T1928" s="74"/>
      <c r="U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  <c r="IW1928" s="74"/>
      <c r="IX1928" s="74"/>
      <c r="IY1928" s="74"/>
      <c r="IZ1928" s="74"/>
      <c r="JA1928" s="74"/>
    </row>
    <row r="1929" spans="1:261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Q1929" s="74"/>
      <c r="R1929" s="74"/>
      <c r="S1929" s="74"/>
      <c r="T1929" s="74"/>
      <c r="U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  <c r="IW1929" s="74"/>
      <c r="IX1929" s="74"/>
      <c r="IY1929" s="74"/>
      <c r="IZ1929" s="74"/>
      <c r="JA1929" s="74"/>
    </row>
    <row r="1930" spans="1:261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Q1930" s="74"/>
      <c r="R1930" s="74"/>
      <c r="S1930" s="74"/>
      <c r="T1930" s="74"/>
      <c r="U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  <c r="IW1930" s="74"/>
      <c r="IX1930" s="74"/>
      <c r="IY1930" s="74"/>
      <c r="IZ1930" s="74"/>
      <c r="JA1930" s="74"/>
    </row>
    <row r="1931" spans="1:261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Q1931" s="74"/>
      <c r="R1931" s="74"/>
      <c r="S1931" s="74"/>
      <c r="T1931" s="74"/>
      <c r="U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  <c r="IW1931" s="74"/>
      <c r="IX1931" s="74"/>
      <c r="IY1931" s="74"/>
      <c r="IZ1931" s="74"/>
      <c r="JA1931" s="74"/>
    </row>
    <row r="1932" spans="1:261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Q1932" s="74"/>
      <c r="R1932" s="74"/>
      <c r="S1932" s="74"/>
      <c r="T1932" s="74"/>
      <c r="U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  <c r="IW1932" s="74"/>
      <c r="IX1932" s="74"/>
      <c r="IY1932" s="74"/>
      <c r="IZ1932" s="74"/>
      <c r="JA1932" s="74"/>
    </row>
    <row r="1933" spans="1:261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Q1933" s="74"/>
      <c r="R1933" s="74"/>
      <c r="S1933" s="74"/>
      <c r="T1933" s="74"/>
      <c r="U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  <c r="IW1933" s="74"/>
      <c r="IX1933" s="74"/>
      <c r="IY1933" s="74"/>
      <c r="IZ1933" s="74"/>
      <c r="JA1933" s="74"/>
    </row>
    <row r="1934" spans="1:261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Q1934" s="74"/>
      <c r="R1934" s="74"/>
      <c r="S1934" s="74"/>
      <c r="T1934" s="74"/>
      <c r="U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  <c r="IW1934" s="74"/>
      <c r="IX1934" s="74"/>
      <c r="IY1934" s="74"/>
      <c r="IZ1934" s="74"/>
      <c r="JA1934" s="74"/>
    </row>
    <row r="1935" spans="1:261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Q1935" s="74"/>
      <c r="R1935" s="74"/>
      <c r="S1935" s="74"/>
      <c r="T1935" s="74"/>
      <c r="U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  <c r="IW1935" s="74"/>
      <c r="IX1935" s="74"/>
      <c r="IY1935" s="74"/>
      <c r="IZ1935" s="74"/>
      <c r="JA1935" s="74"/>
    </row>
    <row r="1936" spans="1:261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  <c r="U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  <c r="IW1936" s="74"/>
      <c r="IX1936" s="74"/>
      <c r="IY1936" s="74"/>
      <c r="IZ1936" s="74"/>
      <c r="JA1936" s="74"/>
    </row>
    <row r="1937" spans="1:261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  <c r="U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  <c r="IW1937" s="74"/>
      <c r="IX1937" s="74"/>
      <c r="IY1937" s="74"/>
      <c r="IZ1937" s="74"/>
      <c r="JA1937" s="74"/>
    </row>
    <row r="1938" spans="1:261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Q1938" s="74"/>
      <c r="R1938" s="74"/>
      <c r="S1938" s="74"/>
      <c r="T1938" s="74"/>
      <c r="U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  <c r="IW1938" s="74"/>
      <c r="IX1938" s="74"/>
      <c r="IY1938" s="74"/>
      <c r="IZ1938" s="74"/>
      <c r="JA1938" s="74"/>
    </row>
    <row r="1939" spans="1:261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Q1939" s="74"/>
      <c r="R1939" s="74"/>
      <c r="S1939" s="74"/>
      <c r="T1939" s="74"/>
      <c r="U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  <c r="IW1939" s="74"/>
      <c r="IX1939" s="74"/>
      <c r="IY1939" s="74"/>
      <c r="IZ1939" s="74"/>
      <c r="JA1939" s="74"/>
    </row>
    <row r="1940" spans="1:261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Q1940" s="74"/>
      <c r="R1940" s="74"/>
      <c r="S1940" s="74"/>
      <c r="T1940" s="74"/>
      <c r="U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  <c r="IW1940" s="74"/>
      <c r="IX1940" s="74"/>
      <c r="IY1940" s="74"/>
      <c r="IZ1940" s="74"/>
      <c r="JA1940" s="74"/>
    </row>
    <row r="1941" spans="1:261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Q1941" s="74"/>
      <c r="R1941" s="74"/>
      <c r="S1941" s="74"/>
      <c r="T1941" s="74"/>
      <c r="U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  <c r="IW1941" s="74"/>
      <c r="IX1941" s="74"/>
      <c r="IY1941" s="74"/>
      <c r="IZ1941" s="74"/>
      <c r="JA1941" s="74"/>
    </row>
    <row r="1942" spans="1:261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Q1942" s="74"/>
      <c r="R1942" s="74"/>
      <c r="S1942" s="74"/>
      <c r="T1942" s="74"/>
      <c r="U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  <c r="IW1942" s="74"/>
      <c r="IX1942" s="74"/>
      <c r="IY1942" s="74"/>
      <c r="IZ1942" s="74"/>
      <c r="JA1942" s="74"/>
    </row>
    <row r="1943" spans="1:261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Q1943" s="74"/>
      <c r="R1943" s="74"/>
      <c r="S1943" s="74"/>
      <c r="T1943" s="74"/>
      <c r="U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  <c r="IW1943" s="74"/>
      <c r="IX1943" s="74"/>
      <c r="IY1943" s="74"/>
      <c r="IZ1943" s="74"/>
      <c r="JA1943" s="74"/>
    </row>
    <row r="1944" spans="1:261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Q1944" s="74"/>
      <c r="R1944" s="74"/>
      <c r="S1944" s="74"/>
      <c r="T1944" s="74"/>
      <c r="U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  <c r="IW1944" s="74"/>
      <c r="IX1944" s="74"/>
      <c r="IY1944" s="74"/>
      <c r="IZ1944" s="74"/>
      <c r="JA1944" s="74"/>
    </row>
    <row r="1945" spans="1:261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Q1945" s="74"/>
      <c r="R1945" s="74"/>
      <c r="S1945" s="74"/>
      <c r="T1945" s="74"/>
      <c r="U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  <c r="IW1945" s="74"/>
      <c r="IX1945" s="74"/>
      <c r="IY1945" s="74"/>
      <c r="IZ1945" s="74"/>
      <c r="JA1945" s="74"/>
    </row>
    <row r="1946" spans="1:261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Q1946" s="74"/>
      <c r="R1946" s="74"/>
      <c r="S1946" s="74"/>
      <c r="T1946" s="74"/>
      <c r="U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  <c r="IW1946" s="74"/>
      <c r="IX1946" s="74"/>
      <c r="IY1946" s="74"/>
      <c r="IZ1946" s="74"/>
      <c r="JA1946" s="74"/>
    </row>
    <row r="1947" spans="1:261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Q1947" s="74"/>
      <c r="R1947" s="74"/>
      <c r="S1947" s="74"/>
      <c r="T1947" s="74"/>
      <c r="U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  <c r="IW1947" s="74"/>
      <c r="IX1947" s="74"/>
      <c r="IY1947" s="74"/>
      <c r="IZ1947" s="74"/>
      <c r="JA1947" s="74"/>
    </row>
    <row r="1948" spans="1:261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Q1948" s="74"/>
      <c r="R1948" s="74"/>
      <c r="S1948" s="74"/>
      <c r="T1948" s="74"/>
      <c r="U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  <c r="IW1948" s="74"/>
      <c r="IX1948" s="74"/>
      <c r="IY1948" s="74"/>
      <c r="IZ1948" s="74"/>
      <c r="JA1948" s="74"/>
    </row>
    <row r="1949" spans="1:261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Q1949" s="74"/>
      <c r="R1949" s="74"/>
      <c r="S1949" s="74"/>
      <c r="T1949" s="74"/>
      <c r="U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  <c r="IW1949" s="74"/>
      <c r="IX1949" s="74"/>
      <c r="IY1949" s="74"/>
      <c r="IZ1949" s="74"/>
      <c r="JA1949" s="74"/>
    </row>
    <row r="1950" spans="1:261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Q1950" s="74"/>
      <c r="R1950" s="74"/>
      <c r="S1950" s="74"/>
      <c r="T1950" s="74"/>
      <c r="U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  <c r="IW1950" s="74"/>
      <c r="IX1950" s="74"/>
      <c r="IY1950" s="74"/>
      <c r="IZ1950" s="74"/>
      <c r="JA1950" s="74"/>
    </row>
    <row r="1951" spans="1:261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Q1951" s="74"/>
      <c r="R1951" s="74"/>
      <c r="S1951" s="74"/>
      <c r="T1951" s="74"/>
      <c r="U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  <c r="IW1951" s="74"/>
      <c r="IX1951" s="74"/>
      <c r="IY1951" s="74"/>
      <c r="IZ1951" s="74"/>
      <c r="JA1951" s="74"/>
    </row>
    <row r="1952" spans="1:261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Q1952" s="74"/>
      <c r="R1952" s="74"/>
      <c r="S1952" s="74"/>
      <c r="T1952" s="74"/>
      <c r="U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  <c r="IW1952" s="74"/>
      <c r="IX1952" s="74"/>
      <c r="IY1952" s="74"/>
      <c r="IZ1952" s="74"/>
      <c r="JA1952" s="74"/>
    </row>
    <row r="1953" spans="1:261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Q1953" s="74"/>
      <c r="R1953" s="74"/>
      <c r="S1953" s="74"/>
      <c r="T1953" s="74"/>
      <c r="U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  <c r="IW1953" s="74"/>
      <c r="IX1953" s="74"/>
      <c r="IY1953" s="74"/>
      <c r="IZ1953" s="74"/>
      <c r="JA1953" s="74"/>
    </row>
    <row r="1954" spans="1:261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Q1954" s="74"/>
      <c r="R1954" s="74"/>
      <c r="S1954" s="74"/>
      <c r="T1954" s="74"/>
      <c r="U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  <c r="IW1954" s="74"/>
      <c r="IX1954" s="74"/>
      <c r="IY1954" s="74"/>
      <c r="IZ1954" s="74"/>
      <c r="JA1954" s="74"/>
    </row>
    <row r="1955" spans="1:261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Q1955" s="74"/>
      <c r="R1955" s="74"/>
      <c r="S1955" s="74"/>
      <c r="T1955" s="74"/>
      <c r="U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  <c r="IW1955" s="74"/>
      <c r="IX1955" s="74"/>
      <c r="IY1955" s="74"/>
      <c r="IZ1955" s="74"/>
      <c r="JA1955" s="74"/>
    </row>
    <row r="1956" spans="1:261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Q1956" s="74"/>
      <c r="R1956" s="74"/>
      <c r="S1956" s="74"/>
      <c r="T1956" s="74"/>
      <c r="U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  <c r="IW1956" s="74"/>
      <c r="IX1956" s="74"/>
      <c r="IY1956" s="74"/>
      <c r="IZ1956" s="74"/>
      <c r="JA1956" s="74"/>
    </row>
    <row r="1957" spans="1:261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Q1957" s="74"/>
      <c r="R1957" s="74"/>
      <c r="S1957" s="74"/>
      <c r="T1957" s="74"/>
      <c r="U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  <c r="IW1957" s="74"/>
      <c r="IX1957" s="74"/>
      <c r="IY1957" s="74"/>
      <c r="IZ1957" s="74"/>
      <c r="JA1957" s="74"/>
    </row>
    <row r="1958" spans="1:261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Q1958" s="74"/>
      <c r="R1958" s="74"/>
      <c r="S1958" s="74"/>
      <c r="T1958" s="74"/>
      <c r="U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  <c r="IW1958" s="74"/>
      <c r="IX1958" s="74"/>
      <c r="IY1958" s="74"/>
      <c r="IZ1958" s="74"/>
      <c r="JA1958" s="74"/>
    </row>
    <row r="1959" spans="1:261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Q1959" s="74"/>
      <c r="R1959" s="74"/>
      <c r="S1959" s="74"/>
      <c r="T1959" s="74"/>
      <c r="U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  <c r="IW1959" s="74"/>
      <c r="IX1959" s="74"/>
      <c r="IY1959" s="74"/>
      <c r="IZ1959" s="74"/>
      <c r="JA1959" s="74"/>
    </row>
    <row r="1960" spans="1:261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Q1960" s="74"/>
      <c r="R1960" s="74"/>
      <c r="S1960" s="74"/>
      <c r="T1960" s="74"/>
      <c r="U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  <c r="IW1960" s="74"/>
      <c r="IX1960" s="74"/>
      <c r="IY1960" s="74"/>
      <c r="IZ1960" s="74"/>
      <c r="JA1960" s="74"/>
    </row>
    <row r="1961" spans="1:261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Q1961" s="74"/>
      <c r="R1961" s="74"/>
      <c r="S1961" s="74"/>
      <c r="T1961" s="74"/>
      <c r="U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  <c r="IW1961" s="74"/>
      <c r="IX1961" s="74"/>
      <c r="IY1961" s="74"/>
      <c r="IZ1961" s="74"/>
      <c r="JA1961" s="74"/>
    </row>
    <row r="1962" spans="1:261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Q1962" s="74"/>
      <c r="R1962" s="74"/>
      <c r="S1962" s="74"/>
      <c r="T1962" s="74"/>
      <c r="U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  <c r="IW1962" s="74"/>
      <c r="IX1962" s="74"/>
      <c r="IY1962" s="74"/>
      <c r="IZ1962" s="74"/>
      <c r="JA1962" s="74"/>
    </row>
    <row r="1963" spans="1:261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Q1963" s="74"/>
      <c r="R1963" s="74"/>
      <c r="S1963" s="74"/>
      <c r="T1963" s="74"/>
      <c r="U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  <c r="IW1963" s="74"/>
      <c r="IX1963" s="74"/>
      <c r="IY1963" s="74"/>
      <c r="IZ1963" s="74"/>
      <c r="JA1963" s="74"/>
    </row>
    <row r="1964" spans="1:261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Q1964" s="74"/>
      <c r="R1964" s="74"/>
      <c r="S1964" s="74"/>
      <c r="T1964" s="74"/>
      <c r="U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  <c r="IW1964" s="74"/>
      <c r="IX1964" s="74"/>
      <c r="IY1964" s="74"/>
      <c r="IZ1964" s="74"/>
      <c r="JA1964" s="74"/>
    </row>
    <row r="1965" spans="1:261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Q1965" s="74"/>
      <c r="R1965" s="74"/>
      <c r="S1965" s="74"/>
      <c r="T1965" s="74"/>
      <c r="U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  <c r="IW1965" s="74"/>
      <c r="IX1965" s="74"/>
      <c r="IY1965" s="74"/>
      <c r="IZ1965" s="74"/>
      <c r="JA1965" s="74"/>
    </row>
    <row r="1966" spans="1:261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Q1966" s="74"/>
      <c r="R1966" s="74"/>
      <c r="S1966" s="74"/>
      <c r="T1966" s="74"/>
      <c r="U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  <c r="IW1966" s="74"/>
      <c r="IX1966" s="74"/>
      <c r="IY1966" s="74"/>
      <c r="IZ1966" s="74"/>
      <c r="JA1966" s="74"/>
    </row>
    <row r="1967" spans="1:261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Q1967" s="74"/>
      <c r="R1967" s="74"/>
      <c r="S1967" s="74"/>
      <c r="T1967" s="74"/>
      <c r="U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  <c r="IW1967" s="74"/>
      <c r="IX1967" s="74"/>
      <c r="IY1967" s="74"/>
      <c r="IZ1967" s="74"/>
      <c r="JA1967" s="74"/>
    </row>
    <row r="1968" spans="1:261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Q1968" s="74"/>
      <c r="R1968" s="74"/>
      <c r="S1968" s="74"/>
      <c r="T1968" s="74"/>
      <c r="U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  <c r="IW1968" s="74"/>
      <c r="IX1968" s="74"/>
      <c r="IY1968" s="74"/>
      <c r="IZ1968" s="74"/>
      <c r="JA1968" s="74"/>
    </row>
    <row r="1969" spans="1:261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Q1969" s="74"/>
      <c r="R1969" s="74"/>
      <c r="S1969" s="74"/>
      <c r="T1969" s="74"/>
      <c r="U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  <c r="IW1969" s="74"/>
      <c r="IX1969" s="74"/>
      <c r="IY1969" s="74"/>
      <c r="IZ1969" s="74"/>
      <c r="JA1969" s="74"/>
    </row>
    <row r="1970" spans="1:261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Q1970" s="74"/>
      <c r="R1970" s="74"/>
      <c r="S1970" s="74"/>
      <c r="T1970" s="74"/>
      <c r="U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  <c r="IW1970" s="74"/>
      <c r="IX1970" s="74"/>
      <c r="IY1970" s="74"/>
      <c r="IZ1970" s="74"/>
      <c r="JA1970" s="74"/>
    </row>
    <row r="1971" spans="1:261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Q1971" s="74"/>
      <c r="R1971" s="74"/>
      <c r="S1971" s="74"/>
      <c r="T1971" s="74"/>
      <c r="U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  <c r="IW1971" s="74"/>
      <c r="IX1971" s="74"/>
      <c r="IY1971" s="74"/>
      <c r="IZ1971" s="74"/>
      <c r="JA1971" s="74"/>
    </row>
    <row r="1972" spans="1:261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Q1972" s="74"/>
      <c r="R1972" s="74"/>
      <c r="S1972" s="74"/>
      <c r="T1972" s="74"/>
      <c r="U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  <c r="IW1972" s="74"/>
      <c r="IX1972" s="74"/>
      <c r="IY1972" s="74"/>
      <c r="IZ1972" s="74"/>
      <c r="JA1972" s="74"/>
    </row>
    <row r="1973" spans="1:261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Q1973" s="74"/>
      <c r="R1973" s="74"/>
      <c r="S1973" s="74"/>
      <c r="T1973" s="74"/>
      <c r="U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  <c r="IW1973" s="74"/>
      <c r="IX1973" s="74"/>
      <c r="IY1973" s="74"/>
      <c r="IZ1973" s="74"/>
      <c r="JA1973" s="74"/>
    </row>
    <row r="1974" spans="1:261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Q1974" s="74"/>
      <c r="R1974" s="74"/>
      <c r="S1974" s="74"/>
      <c r="T1974" s="74"/>
      <c r="U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  <c r="IW1974" s="74"/>
      <c r="IX1974" s="74"/>
      <c r="IY1974" s="74"/>
      <c r="IZ1974" s="74"/>
      <c r="JA1974" s="74"/>
    </row>
    <row r="1975" spans="1:261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Q1975" s="74"/>
      <c r="R1975" s="74"/>
      <c r="S1975" s="74"/>
      <c r="T1975" s="74"/>
      <c r="U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  <c r="IW1975" s="74"/>
      <c r="IX1975" s="74"/>
      <c r="IY1975" s="74"/>
      <c r="IZ1975" s="74"/>
      <c r="JA1975" s="74"/>
    </row>
    <row r="1976" spans="1:261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Q1976" s="74"/>
      <c r="R1976" s="74"/>
      <c r="S1976" s="74"/>
      <c r="T1976" s="74"/>
      <c r="U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  <c r="IW1976" s="74"/>
      <c r="IX1976" s="74"/>
      <c r="IY1976" s="74"/>
      <c r="IZ1976" s="74"/>
      <c r="JA1976" s="74"/>
    </row>
    <row r="1977" spans="1:261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Q1977" s="74"/>
      <c r="R1977" s="74"/>
      <c r="S1977" s="74"/>
      <c r="T1977" s="74"/>
      <c r="U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  <c r="IW1977" s="74"/>
      <c r="IX1977" s="74"/>
      <c r="IY1977" s="74"/>
      <c r="IZ1977" s="74"/>
      <c r="JA1977" s="74"/>
    </row>
    <row r="1978" spans="1:261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Q1978" s="74"/>
      <c r="R1978" s="74"/>
      <c r="S1978" s="74"/>
      <c r="T1978" s="74"/>
      <c r="U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  <c r="IW1978" s="74"/>
      <c r="IX1978" s="74"/>
      <c r="IY1978" s="74"/>
      <c r="IZ1978" s="74"/>
      <c r="JA1978" s="74"/>
    </row>
    <row r="1979" spans="1:261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Q1979" s="74"/>
      <c r="R1979" s="74"/>
      <c r="S1979" s="74"/>
      <c r="T1979" s="74"/>
      <c r="U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  <c r="IW1979" s="74"/>
      <c r="IX1979" s="74"/>
      <c r="IY1979" s="74"/>
      <c r="IZ1979" s="74"/>
      <c r="JA1979" s="74"/>
    </row>
    <row r="1980" spans="1:261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Q1980" s="74"/>
      <c r="R1980" s="74"/>
      <c r="S1980" s="74"/>
      <c r="T1980" s="74"/>
      <c r="U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  <c r="IW1980" s="74"/>
      <c r="IX1980" s="74"/>
      <c r="IY1980" s="74"/>
      <c r="IZ1980" s="74"/>
      <c r="JA1980" s="74"/>
    </row>
    <row r="1981" spans="1:261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  <c r="U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  <c r="IW1981" s="74"/>
      <c r="IX1981" s="74"/>
      <c r="IY1981" s="74"/>
      <c r="IZ1981" s="74"/>
      <c r="JA1981" s="74"/>
    </row>
    <row r="1982" spans="1:261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  <c r="U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  <c r="IW1982" s="74"/>
      <c r="IX1982" s="74"/>
      <c r="IY1982" s="74"/>
      <c r="IZ1982" s="74"/>
      <c r="JA1982" s="74"/>
    </row>
    <row r="1983" spans="1:261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Q1983" s="74"/>
      <c r="R1983" s="74"/>
      <c r="S1983" s="74"/>
      <c r="T1983" s="74"/>
      <c r="U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  <c r="IW1983" s="74"/>
      <c r="IX1983" s="74"/>
      <c r="IY1983" s="74"/>
      <c r="IZ1983" s="74"/>
      <c r="JA1983" s="74"/>
    </row>
    <row r="1984" spans="1:261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Q1984" s="74"/>
      <c r="R1984" s="74"/>
      <c r="S1984" s="74"/>
      <c r="T1984" s="74"/>
      <c r="U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  <c r="IW1984" s="74"/>
      <c r="IX1984" s="74"/>
      <c r="IY1984" s="74"/>
      <c r="IZ1984" s="74"/>
      <c r="JA1984" s="74"/>
    </row>
    <row r="1985" spans="1:261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Q1985" s="74"/>
      <c r="R1985" s="74"/>
      <c r="S1985" s="74"/>
      <c r="T1985" s="74"/>
      <c r="U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  <c r="IW1985" s="74"/>
      <c r="IX1985" s="74"/>
      <c r="IY1985" s="74"/>
      <c r="IZ1985" s="74"/>
      <c r="JA1985" s="74"/>
    </row>
    <row r="1986" spans="1:261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Q1986" s="74"/>
      <c r="R1986" s="74"/>
      <c r="S1986" s="74"/>
      <c r="T1986" s="74"/>
      <c r="U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  <c r="IW1986" s="74"/>
      <c r="IX1986" s="74"/>
      <c r="IY1986" s="74"/>
      <c r="IZ1986" s="74"/>
      <c r="JA1986" s="74"/>
    </row>
    <row r="1987" spans="1:261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Q1987" s="74"/>
      <c r="R1987" s="74"/>
      <c r="S1987" s="74"/>
      <c r="T1987" s="74"/>
      <c r="U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  <c r="IW1987" s="74"/>
      <c r="IX1987" s="74"/>
      <c r="IY1987" s="74"/>
      <c r="IZ1987" s="74"/>
      <c r="JA1987" s="74"/>
    </row>
    <row r="1988" spans="1:261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Q1988" s="74"/>
      <c r="R1988" s="74"/>
      <c r="S1988" s="74"/>
      <c r="T1988" s="74"/>
      <c r="U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  <c r="IW1988" s="74"/>
      <c r="IX1988" s="74"/>
      <c r="IY1988" s="74"/>
      <c r="IZ1988" s="74"/>
      <c r="JA1988" s="74"/>
    </row>
    <row r="1989" spans="1:261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Q1989" s="74"/>
      <c r="R1989" s="74"/>
      <c r="S1989" s="74"/>
      <c r="T1989" s="74"/>
      <c r="U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  <c r="IW1989" s="74"/>
      <c r="IX1989" s="74"/>
      <c r="IY1989" s="74"/>
      <c r="IZ1989" s="74"/>
      <c r="JA1989" s="74"/>
    </row>
    <row r="1990" spans="1:261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Q1990" s="74"/>
      <c r="R1990" s="74"/>
      <c r="S1990" s="74"/>
      <c r="T1990" s="74"/>
      <c r="U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  <c r="IW1990" s="74"/>
      <c r="IX1990" s="74"/>
      <c r="IY1990" s="74"/>
      <c r="IZ1990" s="74"/>
      <c r="JA1990" s="74"/>
    </row>
    <row r="1991" spans="1:261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Q1991" s="74"/>
      <c r="R1991" s="74"/>
      <c r="S1991" s="74"/>
      <c r="T1991" s="74"/>
      <c r="U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  <c r="IW1991" s="74"/>
      <c r="IX1991" s="74"/>
      <c r="IY1991" s="74"/>
      <c r="IZ1991" s="74"/>
      <c r="JA1991" s="74"/>
    </row>
    <row r="1992" spans="1:261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Q1992" s="74"/>
      <c r="R1992" s="74"/>
      <c r="S1992" s="74"/>
      <c r="T1992" s="74"/>
      <c r="U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  <c r="IW1992" s="74"/>
      <c r="IX1992" s="74"/>
      <c r="IY1992" s="74"/>
      <c r="IZ1992" s="74"/>
      <c r="JA1992" s="74"/>
    </row>
    <row r="1993" spans="1:261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Q1993" s="74"/>
      <c r="R1993" s="74"/>
      <c r="S1993" s="74"/>
      <c r="T1993" s="74"/>
      <c r="U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  <c r="IW1993" s="74"/>
      <c r="IX1993" s="74"/>
      <c r="IY1993" s="74"/>
      <c r="IZ1993" s="74"/>
      <c r="JA1993" s="74"/>
    </row>
    <row r="1994" spans="1:261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Q1994" s="74"/>
      <c r="R1994" s="74"/>
      <c r="S1994" s="74"/>
      <c r="T1994" s="74"/>
      <c r="U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  <c r="IW1994" s="74"/>
      <c r="IX1994" s="74"/>
      <c r="IY1994" s="74"/>
      <c r="IZ1994" s="74"/>
      <c r="JA1994" s="74"/>
    </row>
    <row r="1995" spans="1:261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Q1995" s="74"/>
      <c r="R1995" s="74"/>
      <c r="S1995" s="74"/>
      <c r="T1995" s="74"/>
      <c r="U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  <c r="IW1995" s="74"/>
      <c r="IX1995" s="74"/>
      <c r="IY1995" s="74"/>
      <c r="IZ1995" s="74"/>
      <c r="JA1995" s="74"/>
    </row>
    <row r="1996" spans="1:261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Q1996" s="74"/>
      <c r="R1996" s="74"/>
      <c r="S1996" s="74"/>
      <c r="T1996" s="74"/>
      <c r="U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  <c r="IW1996" s="74"/>
      <c r="IX1996" s="74"/>
      <c r="IY1996" s="74"/>
      <c r="IZ1996" s="74"/>
      <c r="JA1996" s="74"/>
    </row>
    <row r="1997" spans="1:261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Q1997" s="74"/>
      <c r="R1997" s="74"/>
      <c r="S1997" s="74"/>
      <c r="T1997" s="74"/>
      <c r="U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  <c r="IW1997" s="74"/>
      <c r="IX1997" s="74"/>
      <c r="IY1997" s="74"/>
      <c r="IZ1997" s="74"/>
      <c r="JA1997" s="74"/>
    </row>
    <row r="1998" spans="1:261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Q1998" s="74"/>
      <c r="R1998" s="74"/>
      <c r="S1998" s="74"/>
      <c r="T1998" s="74"/>
      <c r="U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  <c r="IW1998" s="74"/>
      <c r="IX1998" s="74"/>
      <c r="IY1998" s="74"/>
      <c r="IZ1998" s="74"/>
      <c r="JA1998" s="74"/>
    </row>
    <row r="1999" spans="1:261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Q1999" s="74"/>
      <c r="R1999" s="74"/>
      <c r="S1999" s="74"/>
      <c r="T1999" s="74"/>
      <c r="U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  <c r="IW1999" s="74"/>
      <c r="IX1999" s="74"/>
      <c r="IY1999" s="74"/>
      <c r="IZ1999" s="74"/>
      <c r="JA1999" s="74"/>
    </row>
    <row r="2000" spans="1:261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Q2000" s="74"/>
      <c r="R2000" s="74"/>
      <c r="S2000" s="74"/>
      <c r="T2000" s="74"/>
      <c r="U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  <c r="IW2000" s="74"/>
      <c r="IX2000" s="74"/>
      <c r="IY2000" s="74"/>
      <c r="IZ2000" s="74"/>
      <c r="JA2000" s="74"/>
    </row>
    <row r="2001" spans="1:261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Q2001" s="74"/>
      <c r="R2001" s="74"/>
      <c r="S2001" s="74"/>
      <c r="T2001" s="74"/>
      <c r="U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  <c r="IW2001" s="74"/>
      <c r="IX2001" s="74"/>
      <c r="IY2001" s="74"/>
      <c r="IZ2001" s="74"/>
      <c r="JA2001" s="74"/>
    </row>
    <row r="2002" spans="1:261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Q2002" s="74"/>
      <c r="R2002" s="74"/>
      <c r="S2002" s="74"/>
      <c r="T2002" s="74"/>
      <c r="U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  <c r="IW2002" s="74"/>
      <c r="IX2002" s="74"/>
      <c r="IY2002" s="74"/>
      <c r="IZ2002" s="74"/>
      <c r="JA2002" s="74"/>
    </row>
    <row r="2003" spans="1:261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Q2003" s="74"/>
      <c r="R2003" s="74"/>
      <c r="S2003" s="74"/>
      <c r="T2003" s="74"/>
      <c r="U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  <c r="IW2003" s="74"/>
      <c r="IX2003" s="74"/>
      <c r="IY2003" s="74"/>
      <c r="IZ2003" s="74"/>
      <c r="JA2003" s="74"/>
    </row>
    <row r="2004" spans="1:261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Q2004" s="74"/>
      <c r="R2004" s="74"/>
      <c r="S2004" s="74"/>
      <c r="T2004" s="74"/>
      <c r="U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  <c r="IW2004" s="74"/>
      <c r="IX2004" s="74"/>
      <c r="IY2004" s="74"/>
      <c r="IZ2004" s="74"/>
      <c r="JA2004" s="74"/>
    </row>
    <row r="2005" spans="1:261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Q2005" s="74"/>
      <c r="R2005" s="74"/>
      <c r="S2005" s="74"/>
      <c r="T2005" s="74"/>
      <c r="U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  <c r="IW2005" s="74"/>
      <c r="IX2005" s="74"/>
      <c r="IY2005" s="74"/>
      <c r="IZ2005" s="74"/>
      <c r="JA2005" s="74"/>
    </row>
    <row r="2006" spans="1:261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Q2006" s="74"/>
      <c r="R2006" s="74"/>
      <c r="S2006" s="74"/>
      <c r="T2006" s="74"/>
      <c r="U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  <c r="IW2006" s="74"/>
      <c r="IX2006" s="74"/>
      <c r="IY2006" s="74"/>
      <c r="IZ2006" s="74"/>
      <c r="JA2006" s="74"/>
    </row>
    <row r="2007" spans="1:261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Q2007" s="74"/>
      <c r="R2007" s="74"/>
      <c r="S2007" s="74"/>
      <c r="T2007" s="74"/>
      <c r="U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  <c r="IW2007" s="74"/>
      <c r="IX2007" s="74"/>
      <c r="IY2007" s="74"/>
      <c r="IZ2007" s="74"/>
      <c r="JA2007" s="74"/>
    </row>
    <row r="2008" spans="1:261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Q2008" s="74"/>
      <c r="R2008" s="74"/>
      <c r="S2008" s="74"/>
      <c r="T2008" s="74"/>
      <c r="U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  <c r="IW2008" s="74"/>
      <c r="IX2008" s="74"/>
      <c r="IY2008" s="74"/>
      <c r="IZ2008" s="74"/>
      <c r="JA2008" s="74"/>
    </row>
    <row r="2009" spans="1:261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Q2009" s="74"/>
      <c r="R2009" s="74"/>
      <c r="S2009" s="74"/>
      <c r="T2009" s="74"/>
      <c r="U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  <c r="IW2009" s="74"/>
      <c r="IX2009" s="74"/>
      <c r="IY2009" s="74"/>
      <c r="IZ2009" s="74"/>
      <c r="JA2009" s="74"/>
    </row>
    <row r="2010" spans="1:261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Q2010" s="74"/>
      <c r="R2010" s="74"/>
      <c r="S2010" s="74"/>
      <c r="T2010" s="74"/>
      <c r="U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  <c r="IW2010" s="74"/>
      <c r="IX2010" s="74"/>
      <c r="IY2010" s="74"/>
      <c r="IZ2010" s="74"/>
      <c r="JA2010" s="74"/>
    </row>
    <row r="2011" spans="1:261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Q2011" s="74"/>
      <c r="R2011" s="74"/>
      <c r="S2011" s="74"/>
      <c r="T2011" s="74"/>
      <c r="U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  <c r="IW2011" s="74"/>
      <c r="IX2011" s="74"/>
      <c r="IY2011" s="74"/>
      <c r="IZ2011" s="74"/>
      <c r="JA2011" s="74"/>
    </row>
    <row r="2012" spans="1:261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Q2012" s="74"/>
      <c r="R2012" s="74"/>
      <c r="S2012" s="74"/>
      <c r="T2012" s="74"/>
      <c r="U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  <c r="IW2012" s="74"/>
      <c r="IX2012" s="74"/>
      <c r="IY2012" s="74"/>
      <c r="IZ2012" s="74"/>
      <c r="JA2012" s="74"/>
    </row>
    <row r="2013" spans="1:261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Q2013" s="74"/>
      <c r="R2013" s="74"/>
      <c r="S2013" s="74"/>
      <c r="T2013" s="74"/>
      <c r="U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  <c r="IW2013" s="74"/>
      <c r="IX2013" s="74"/>
      <c r="IY2013" s="74"/>
      <c r="IZ2013" s="74"/>
      <c r="JA2013" s="74"/>
    </row>
    <row r="2014" spans="1:261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Q2014" s="74"/>
      <c r="R2014" s="74"/>
      <c r="S2014" s="74"/>
      <c r="T2014" s="74"/>
      <c r="U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  <c r="IW2014" s="74"/>
      <c r="IX2014" s="74"/>
      <c r="IY2014" s="74"/>
      <c r="IZ2014" s="74"/>
      <c r="JA2014" s="74"/>
    </row>
    <row r="2015" spans="1:261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Q2015" s="74"/>
      <c r="R2015" s="74"/>
      <c r="S2015" s="74"/>
      <c r="T2015" s="74"/>
      <c r="U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  <c r="IW2015" s="74"/>
      <c r="IX2015" s="74"/>
      <c r="IY2015" s="74"/>
      <c r="IZ2015" s="74"/>
      <c r="JA2015" s="74"/>
    </row>
    <row r="2016" spans="1:261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Q2016" s="74"/>
      <c r="R2016" s="74"/>
      <c r="S2016" s="74"/>
      <c r="T2016" s="74"/>
      <c r="U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  <c r="IW2016" s="74"/>
      <c r="IX2016" s="74"/>
      <c r="IY2016" s="74"/>
      <c r="IZ2016" s="74"/>
      <c r="JA2016" s="74"/>
    </row>
    <row r="2017" spans="1:261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Q2017" s="74"/>
      <c r="R2017" s="74"/>
      <c r="S2017" s="74"/>
      <c r="T2017" s="74"/>
      <c r="U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  <c r="IW2017" s="74"/>
      <c r="IX2017" s="74"/>
      <c r="IY2017" s="74"/>
      <c r="IZ2017" s="74"/>
      <c r="JA2017" s="74"/>
    </row>
    <row r="2018" spans="1:261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Q2018" s="74"/>
      <c r="R2018" s="74"/>
      <c r="S2018" s="74"/>
      <c r="T2018" s="74"/>
      <c r="U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  <c r="IW2018" s="74"/>
      <c r="IX2018" s="74"/>
      <c r="IY2018" s="74"/>
      <c r="IZ2018" s="74"/>
      <c r="JA2018" s="74"/>
    </row>
    <row r="2019" spans="1:261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Q2019" s="74"/>
      <c r="R2019" s="74"/>
      <c r="S2019" s="74"/>
      <c r="T2019" s="74"/>
      <c r="U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  <c r="IW2019" s="74"/>
      <c r="IX2019" s="74"/>
      <c r="IY2019" s="74"/>
      <c r="IZ2019" s="74"/>
      <c r="JA2019" s="74"/>
    </row>
    <row r="2020" spans="1:261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Q2020" s="74"/>
      <c r="R2020" s="74"/>
      <c r="S2020" s="74"/>
      <c r="T2020" s="74"/>
      <c r="U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  <c r="IW2020" s="74"/>
      <c r="IX2020" s="74"/>
      <c r="IY2020" s="74"/>
      <c r="IZ2020" s="74"/>
      <c r="JA2020" s="74"/>
    </row>
    <row r="2021" spans="1:261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Q2021" s="74"/>
      <c r="R2021" s="74"/>
      <c r="S2021" s="74"/>
      <c r="T2021" s="74"/>
      <c r="U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  <c r="IW2021" s="74"/>
      <c r="IX2021" s="74"/>
      <c r="IY2021" s="74"/>
      <c r="IZ2021" s="74"/>
      <c r="JA2021" s="74"/>
    </row>
    <row r="2022" spans="1:261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Q2022" s="74"/>
      <c r="R2022" s="74"/>
      <c r="S2022" s="74"/>
      <c r="T2022" s="74"/>
      <c r="U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  <c r="IW2022" s="74"/>
      <c r="IX2022" s="74"/>
      <c r="IY2022" s="74"/>
      <c r="IZ2022" s="74"/>
      <c r="JA2022" s="74"/>
    </row>
    <row r="2023" spans="1:261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Q2023" s="74"/>
      <c r="R2023" s="74"/>
      <c r="S2023" s="74"/>
      <c r="T2023" s="74"/>
      <c r="U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  <c r="IW2023" s="74"/>
      <c r="IX2023" s="74"/>
      <c r="IY2023" s="74"/>
      <c r="IZ2023" s="74"/>
      <c r="JA2023" s="74"/>
    </row>
    <row r="2024" spans="1:261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Q2024" s="74"/>
      <c r="R2024" s="74"/>
      <c r="S2024" s="74"/>
      <c r="T2024" s="74"/>
      <c r="U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  <c r="IW2024" s="74"/>
      <c r="IX2024" s="74"/>
      <c r="IY2024" s="74"/>
      <c r="IZ2024" s="74"/>
      <c r="JA2024" s="74"/>
    </row>
    <row r="2025" spans="1:261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Q2025" s="74"/>
      <c r="R2025" s="74"/>
      <c r="S2025" s="74"/>
      <c r="T2025" s="74"/>
      <c r="U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  <c r="IW2025" s="74"/>
      <c r="IX2025" s="74"/>
      <c r="IY2025" s="74"/>
      <c r="IZ2025" s="74"/>
      <c r="JA2025" s="74"/>
    </row>
    <row r="2026" spans="1:261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  <c r="U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  <c r="IW2026" s="74"/>
      <c r="IX2026" s="74"/>
      <c r="IY2026" s="74"/>
      <c r="IZ2026" s="74"/>
      <c r="JA2026" s="74"/>
    </row>
    <row r="2027" spans="1:261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  <c r="U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  <c r="IW2027" s="74"/>
      <c r="IX2027" s="74"/>
      <c r="IY2027" s="74"/>
      <c r="IZ2027" s="74"/>
      <c r="JA2027" s="74"/>
    </row>
    <row r="2028" spans="1:261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Q2028" s="74"/>
      <c r="R2028" s="74"/>
      <c r="S2028" s="74"/>
      <c r="T2028" s="74"/>
      <c r="U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  <c r="IW2028" s="74"/>
      <c r="IX2028" s="74"/>
      <c r="IY2028" s="74"/>
      <c r="IZ2028" s="74"/>
      <c r="JA2028" s="74"/>
    </row>
    <row r="2029" spans="1:261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Q2029" s="74"/>
      <c r="R2029" s="74"/>
      <c r="S2029" s="74"/>
      <c r="T2029" s="74"/>
      <c r="U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  <c r="IW2029" s="74"/>
      <c r="IX2029" s="74"/>
      <c r="IY2029" s="74"/>
      <c r="IZ2029" s="74"/>
      <c r="JA2029" s="74"/>
    </row>
    <row r="2030" spans="1:261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Q2030" s="74"/>
      <c r="R2030" s="74"/>
      <c r="S2030" s="74"/>
      <c r="T2030" s="74"/>
      <c r="U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  <c r="IW2030" s="74"/>
      <c r="IX2030" s="74"/>
      <c r="IY2030" s="74"/>
      <c r="IZ2030" s="74"/>
      <c r="JA2030" s="74"/>
    </row>
    <row r="2031" spans="1:261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Q2031" s="74"/>
      <c r="R2031" s="74"/>
      <c r="S2031" s="74"/>
      <c r="T2031" s="74"/>
      <c r="U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  <c r="IW2031" s="74"/>
      <c r="IX2031" s="74"/>
      <c r="IY2031" s="74"/>
      <c r="IZ2031" s="74"/>
      <c r="JA2031" s="74"/>
    </row>
    <row r="2032" spans="1:261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Q2032" s="74"/>
      <c r="R2032" s="74"/>
      <c r="S2032" s="74"/>
      <c r="T2032" s="74"/>
      <c r="U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  <c r="IW2032" s="74"/>
      <c r="IX2032" s="74"/>
      <c r="IY2032" s="74"/>
      <c r="IZ2032" s="74"/>
      <c r="JA2032" s="74"/>
    </row>
    <row r="2033" spans="1:261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Q2033" s="74"/>
      <c r="R2033" s="74"/>
      <c r="S2033" s="74"/>
      <c r="T2033" s="74"/>
      <c r="U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  <c r="IW2033" s="74"/>
      <c r="IX2033" s="74"/>
      <c r="IY2033" s="74"/>
      <c r="IZ2033" s="74"/>
      <c r="JA2033" s="74"/>
    </row>
    <row r="2034" spans="1:261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Q2034" s="74"/>
      <c r="R2034" s="74"/>
      <c r="S2034" s="74"/>
      <c r="T2034" s="74"/>
      <c r="U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  <c r="IW2034" s="74"/>
      <c r="IX2034" s="74"/>
      <c r="IY2034" s="74"/>
      <c r="IZ2034" s="74"/>
      <c r="JA2034" s="74"/>
    </row>
    <row r="2035" spans="1:261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Q2035" s="74"/>
      <c r="R2035" s="74"/>
      <c r="S2035" s="74"/>
      <c r="T2035" s="74"/>
      <c r="U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  <c r="IW2035" s="74"/>
      <c r="IX2035" s="74"/>
      <c r="IY2035" s="74"/>
      <c r="IZ2035" s="74"/>
      <c r="JA2035" s="74"/>
    </row>
    <row r="2036" spans="1:261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Q2036" s="74"/>
      <c r="R2036" s="74"/>
      <c r="S2036" s="74"/>
      <c r="T2036" s="74"/>
      <c r="U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  <c r="IW2036" s="74"/>
      <c r="IX2036" s="74"/>
      <c r="IY2036" s="74"/>
      <c r="IZ2036" s="74"/>
      <c r="JA2036" s="74"/>
    </row>
    <row r="2037" spans="1:261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Q2037" s="74"/>
      <c r="R2037" s="74"/>
      <c r="S2037" s="74"/>
      <c r="T2037" s="74"/>
      <c r="U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  <c r="IW2037" s="74"/>
      <c r="IX2037" s="74"/>
      <c r="IY2037" s="74"/>
      <c r="IZ2037" s="74"/>
      <c r="JA2037" s="74"/>
    </row>
    <row r="2038" spans="1:261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Q2038" s="74"/>
      <c r="R2038" s="74"/>
      <c r="S2038" s="74"/>
      <c r="T2038" s="74"/>
      <c r="U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  <c r="IW2038" s="74"/>
      <c r="IX2038" s="74"/>
      <c r="IY2038" s="74"/>
      <c r="IZ2038" s="74"/>
      <c r="JA2038" s="74"/>
    </row>
    <row r="2039" spans="1:261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Q2039" s="74"/>
      <c r="R2039" s="74"/>
      <c r="S2039" s="74"/>
      <c r="T2039" s="74"/>
      <c r="U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  <c r="IW2039" s="74"/>
      <c r="IX2039" s="74"/>
      <c r="IY2039" s="74"/>
      <c r="IZ2039" s="74"/>
      <c r="JA2039" s="74"/>
    </row>
    <row r="2040" spans="1:261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Q2040" s="74"/>
      <c r="R2040" s="74"/>
      <c r="S2040" s="74"/>
      <c r="T2040" s="74"/>
      <c r="U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  <c r="IW2040" s="74"/>
      <c r="IX2040" s="74"/>
      <c r="IY2040" s="74"/>
      <c r="IZ2040" s="74"/>
      <c r="JA2040" s="74"/>
    </row>
    <row r="2041" spans="1:261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Q2041" s="74"/>
      <c r="R2041" s="74"/>
      <c r="S2041" s="74"/>
      <c r="T2041" s="74"/>
      <c r="U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  <c r="IW2041" s="74"/>
      <c r="IX2041" s="74"/>
      <c r="IY2041" s="74"/>
      <c r="IZ2041" s="74"/>
      <c r="JA2041" s="74"/>
    </row>
    <row r="2042" spans="1:261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Q2042" s="74"/>
      <c r="R2042" s="74"/>
      <c r="S2042" s="74"/>
      <c r="T2042" s="74"/>
      <c r="U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  <c r="IW2042" s="74"/>
      <c r="IX2042" s="74"/>
      <c r="IY2042" s="74"/>
      <c r="IZ2042" s="74"/>
      <c r="JA2042" s="74"/>
    </row>
    <row r="2043" spans="1:261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Q2043" s="74"/>
      <c r="R2043" s="74"/>
      <c r="S2043" s="74"/>
      <c r="T2043" s="74"/>
      <c r="U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  <c r="IW2043" s="74"/>
      <c r="IX2043" s="74"/>
      <c r="IY2043" s="74"/>
      <c r="IZ2043" s="74"/>
      <c r="JA2043" s="74"/>
    </row>
    <row r="2044" spans="1:261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Q2044" s="74"/>
      <c r="R2044" s="74"/>
      <c r="S2044" s="74"/>
      <c r="T2044" s="74"/>
      <c r="U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  <c r="IW2044" s="74"/>
      <c r="IX2044" s="74"/>
      <c r="IY2044" s="74"/>
      <c r="IZ2044" s="74"/>
      <c r="JA2044" s="74"/>
    </row>
    <row r="2045" spans="1:261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Q2045" s="74"/>
      <c r="R2045" s="74"/>
      <c r="S2045" s="74"/>
      <c r="T2045" s="74"/>
      <c r="U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  <c r="IW2045" s="74"/>
      <c r="IX2045" s="74"/>
      <c r="IY2045" s="74"/>
      <c r="IZ2045" s="74"/>
      <c r="JA2045" s="74"/>
    </row>
    <row r="2046" spans="1:261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Q2046" s="74"/>
      <c r="R2046" s="74"/>
      <c r="S2046" s="74"/>
      <c r="T2046" s="74"/>
      <c r="U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  <c r="IW2046" s="74"/>
      <c r="IX2046" s="74"/>
      <c r="IY2046" s="74"/>
      <c r="IZ2046" s="74"/>
      <c r="JA2046" s="74"/>
    </row>
    <row r="2047" spans="1:261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Q2047" s="74"/>
      <c r="R2047" s="74"/>
      <c r="S2047" s="74"/>
      <c r="T2047" s="74"/>
      <c r="U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  <c r="IW2047" s="74"/>
      <c r="IX2047" s="74"/>
      <c r="IY2047" s="74"/>
      <c r="IZ2047" s="74"/>
      <c r="JA2047" s="74"/>
    </row>
    <row r="2048" spans="1:261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74"/>
      <c r="R2048" s="74"/>
      <c r="S2048" s="74"/>
      <c r="T2048" s="74"/>
      <c r="U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  <c r="IW2048" s="74"/>
      <c r="IX2048" s="74"/>
      <c r="IY2048" s="74"/>
      <c r="IZ2048" s="74"/>
      <c r="JA2048" s="74"/>
    </row>
    <row r="2049" spans="1:261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Q2049" s="74"/>
      <c r="R2049" s="74"/>
      <c r="S2049" s="74"/>
      <c r="T2049" s="74"/>
      <c r="U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  <c r="IW2049" s="74"/>
      <c r="IX2049" s="74"/>
      <c r="IY2049" s="74"/>
      <c r="IZ2049" s="74"/>
      <c r="JA2049" s="74"/>
    </row>
    <row r="2050" spans="1:261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Q2050" s="74"/>
      <c r="R2050" s="74"/>
      <c r="S2050" s="74"/>
      <c r="T2050" s="74"/>
      <c r="U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  <c r="IW2050" s="74"/>
      <c r="IX2050" s="74"/>
      <c r="IY2050" s="74"/>
      <c r="IZ2050" s="74"/>
      <c r="JA2050" s="74"/>
    </row>
    <row r="2051" spans="1:261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Q2051" s="74"/>
      <c r="R2051" s="74"/>
      <c r="S2051" s="74"/>
      <c r="T2051" s="74"/>
      <c r="U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  <c r="IW2051" s="74"/>
      <c r="IX2051" s="74"/>
      <c r="IY2051" s="74"/>
      <c r="IZ2051" s="74"/>
      <c r="JA2051" s="74"/>
    </row>
    <row r="2052" spans="1:261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Q2052" s="74"/>
      <c r="R2052" s="74"/>
      <c r="S2052" s="74"/>
      <c r="T2052" s="74"/>
      <c r="U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  <c r="IW2052" s="74"/>
      <c r="IX2052" s="74"/>
      <c r="IY2052" s="74"/>
      <c r="IZ2052" s="74"/>
      <c r="JA2052" s="74"/>
    </row>
    <row r="2053" spans="1:261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Q2053" s="74"/>
      <c r="R2053" s="74"/>
      <c r="S2053" s="74"/>
      <c r="T2053" s="74"/>
      <c r="U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  <c r="IW2053" s="74"/>
      <c r="IX2053" s="74"/>
      <c r="IY2053" s="74"/>
      <c r="IZ2053" s="74"/>
      <c r="JA2053" s="74"/>
    </row>
    <row r="2054" spans="1:261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Q2054" s="74"/>
      <c r="R2054" s="74"/>
      <c r="S2054" s="74"/>
      <c r="T2054" s="74"/>
      <c r="U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  <c r="IW2054" s="74"/>
      <c r="IX2054" s="74"/>
      <c r="IY2054" s="74"/>
      <c r="IZ2054" s="74"/>
      <c r="JA2054" s="74"/>
    </row>
    <row r="2055" spans="1:261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Q2055" s="74"/>
      <c r="R2055" s="74"/>
      <c r="S2055" s="74"/>
      <c r="T2055" s="74"/>
      <c r="U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  <c r="IW2055" s="74"/>
      <c r="IX2055" s="74"/>
      <c r="IY2055" s="74"/>
      <c r="IZ2055" s="74"/>
      <c r="JA2055" s="74"/>
    </row>
    <row r="2056" spans="1:261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Q2056" s="74"/>
      <c r="R2056" s="74"/>
      <c r="S2056" s="74"/>
      <c r="T2056" s="74"/>
      <c r="U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  <c r="IW2056" s="74"/>
      <c r="IX2056" s="74"/>
      <c r="IY2056" s="74"/>
      <c r="IZ2056" s="74"/>
      <c r="JA2056" s="74"/>
    </row>
    <row r="2057" spans="1:261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Q2057" s="74"/>
      <c r="R2057" s="74"/>
      <c r="S2057" s="74"/>
      <c r="T2057" s="74"/>
      <c r="U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  <c r="IW2057" s="74"/>
      <c r="IX2057" s="74"/>
      <c r="IY2057" s="74"/>
      <c r="IZ2057" s="74"/>
      <c r="JA2057" s="74"/>
    </row>
    <row r="2058" spans="1:261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Q2058" s="74"/>
      <c r="R2058" s="74"/>
      <c r="S2058" s="74"/>
      <c r="T2058" s="74"/>
      <c r="U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  <c r="IW2058" s="74"/>
      <c r="IX2058" s="74"/>
      <c r="IY2058" s="74"/>
      <c r="IZ2058" s="74"/>
      <c r="JA2058" s="74"/>
    </row>
    <row r="2059" spans="1:261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Q2059" s="74"/>
      <c r="R2059" s="74"/>
      <c r="S2059" s="74"/>
      <c r="T2059" s="74"/>
      <c r="U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  <c r="IW2059" s="74"/>
      <c r="IX2059" s="74"/>
      <c r="IY2059" s="74"/>
      <c r="IZ2059" s="74"/>
      <c r="JA2059" s="74"/>
    </row>
    <row r="2060" spans="1:261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Q2060" s="74"/>
      <c r="R2060" s="74"/>
      <c r="S2060" s="74"/>
      <c r="T2060" s="74"/>
      <c r="U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  <c r="IW2060" s="74"/>
      <c r="IX2060" s="74"/>
      <c r="IY2060" s="74"/>
      <c r="IZ2060" s="74"/>
      <c r="JA2060" s="74"/>
    </row>
    <row r="2061" spans="1:261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Q2061" s="74"/>
      <c r="R2061" s="74"/>
      <c r="S2061" s="74"/>
      <c r="T2061" s="74"/>
      <c r="U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  <c r="IW2061" s="74"/>
      <c r="IX2061" s="74"/>
      <c r="IY2061" s="74"/>
      <c r="IZ2061" s="74"/>
      <c r="JA2061" s="74"/>
    </row>
    <row r="2062" spans="1:261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Q2062" s="74"/>
      <c r="R2062" s="74"/>
      <c r="S2062" s="74"/>
      <c r="T2062" s="74"/>
      <c r="U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  <c r="IW2062" s="74"/>
      <c r="IX2062" s="74"/>
      <c r="IY2062" s="74"/>
      <c r="IZ2062" s="74"/>
      <c r="JA2062" s="74"/>
    </row>
    <row r="2063" spans="1:261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Q2063" s="74"/>
      <c r="R2063" s="74"/>
      <c r="S2063" s="74"/>
      <c r="T2063" s="74"/>
      <c r="U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  <c r="IW2063" s="74"/>
      <c r="IX2063" s="74"/>
      <c r="IY2063" s="74"/>
      <c r="IZ2063" s="74"/>
      <c r="JA2063" s="74"/>
    </row>
    <row r="2064" spans="1:261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Q2064" s="74"/>
      <c r="R2064" s="74"/>
      <c r="S2064" s="74"/>
      <c r="T2064" s="74"/>
      <c r="U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  <c r="IW2064" s="74"/>
      <c r="IX2064" s="74"/>
      <c r="IY2064" s="74"/>
      <c r="IZ2064" s="74"/>
      <c r="JA2064" s="74"/>
    </row>
    <row r="2065" spans="1:261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Q2065" s="74"/>
      <c r="R2065" s="74"/>
      <c r="S2065" s="74"/>
      <c r="T2065" s="74"/>
      <c r="U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  <c r="IW2065" s="74"/>
      <c r="IX2065" s="74"/>
      <c r="IY2065" s="74"/>
      <c r="IZ2065" s="74"/>
      <c r="JA2065" s="74"/>
    </row>
    <row r="2066" spans="1:261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Q2066" s="74"/>
      <c r="R2066" s="74"/>
      <c r="S2066" s="74"/>
      <c r="T2066" s="74"/>
      <c r="U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  <c r="IW2066" s="74"/>
      <c r="IX2066" s="74"/>
      <c r="IY2066" s="74"/>
      <c r="IZ2066" s="74"/>
      <c r="JA2066" s="74"/>
    </row>
    <row r="2067" spans="1:261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Q2067" s="74"/>
      <c r="R2067" s="74"/>
      <c r="S2067" s="74"/>
      <c r="T2067" s="74"/>
      <c r="U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  <c r="IW2067" s="74"/>
      <c r="IX2067" s="74"/>
      <c r="IY2067" s="74"/>
      <c r="IZ2067" s="74"/>
      <c r="JA2067" s="74"/>
    </row>
    <row r="2068" spans="1:261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Q2068" s="74"/>
      <c r="R2068" s="74"/>
      <c r="S2068" s="74"/>
      <c r="T2068" s="74"/>
      <c r="U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  <c r="IW2068" s="74"/>
      <c r="IX2068" s="74"/>
      <c r="IY2068" s="74"/>
      <c r="IZ2068" s="74"/>
      <c r="JA2068" s="74"/>
    </row>
    <row r="2069" spans="1:261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Q2069" s="74"/>
      <c r="R2069" s="74"/>
      <c r="S2069" s="74"/>
      <c r="T2069" s="74"/>
      <c r="U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  <c r="IW2069" s="74"/>
      <c r="IX2069" s="74"/>
      <c r="IY2069" s="74"/>
      <c r="IZ2069" s="74"/>
      <c r="JA2069" s="74"/>
    </row>
    <row r="2070" spans="1:261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Q2070" s="74"/>
      <c r="R2070" s="74"/>
      <c r="S2070" s="74"/>
      <c r="T2070" s="74"/>
      <c r="U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  <c r="IW2070" s="74"/>
      <c r="IX2070" s="74"/>
      <c r="IY2070" s="74"/>
      <c r="IZ2070" s="74"/>
      <c r="JA2070" s="74"/>
    </row>
    <row r="2071" spans="1:261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  <c r="U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  <c r="IW2071" s="74"/>
      <c r="IX2071" s="74"/>
      <c r="IY2071" s="74"/>
      <c r="IZ2071" s="74"/>
      <c r="JA2071" s="74"/>
    </row>
    <row r="2072" spans="1:261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  <c r="U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  <c r="IW2072" s="74"/>
      <c r="IX2072" s="74"/>
      <c r="IY2072" s="74"/>
      <c r="IZ2072" s="74"/>
      <c r="JA2072" s="74"/>
    </row>
    <row r="2073" spans="1:261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Q2073" s="74"/>
      <c r="R2073" s="74"/>
      <c r="S2073" s="74"/>
      <c r="T2073" s="74"/>
      <c r="U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  <c r="IW2073" s="74"/>
      <c r="IX2073" s="74"/>
      <c r="IY2073" s="74"/>
      <c r="IZ2073" s="74"/>
      <c r="JA2073" s="74"/>
    </row>
    <row r="2074" spans="1:261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Q2074" s="74"/>
      <c r="R2074" s="74"/>
      <c r="S2074" s="74"/>
      <c r="T2074" s="74"/>
      <c r="U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  <c r="IW2074" s="74"/>
      <c r="IX2074" s="74"/>
      <c r="IY2074" s="74"/>
      <c r="IZ2074" s="74"/>
      <c r="JA2074" s="74"/>
    </row>
    <row r="2075" spans="1:261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Q2075" s="74"/>
      <c r="R2075" s="74"/>
      <c r="S2075" s="74"/>
      <c r="T2075" s="74"/>
      <c r="U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  <c r="IW2075" s="74"/>
      <c r="IX2075" s="74"/>
      <c r="IY2075" s="74"/>
      <c r="IZ2075" s="74"/>
      <c r="JA2075" s="74"/>
    </row>
    <row r="2076" spans="1:261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Q2076" s="74"/>
      <c r="R2076" s="74"/>
      <c r="S2076" s="74"/>
      <c r="T2076" s="74"/>
      <c r="U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  <c r="IW2076" s="74"/>
      <c r="IX2076" s="74"/>
      <c r="IY2076" s="74"/>
      <c r="IZ2076" s="74"/>
      <c r="JA2076" s="74"/>
    </row>
    <row r="2077" spans="1:261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Q2077" s="74"/>
      <c r="R2077" s="74"/>
      <c r="S2077" s="74"/>
      <c r="T2077" s="74"/>
      <c r="U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  <c r="IW2077" s="74"/>
      <c r="IX2077" s="74"/>
      <c r="IY2077" s="74"/>
      <c r="IZ2077" s="74"/>
      <c r="JA2077" s="74"/>
    </row>
    <row r="2078" spans="1:261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Q2078" s="74"/>
      <c r="R2078" s="74"/>
      <c r="S2078" s="74"/>
      <c r="T2078" s="74"/>
      <c r="U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  <c r="IW2078" s="74"/>
      <c r="IX2078" s="74"/>
      <c r="IY2078" s="74"/>
      <c r="IZ2078" s="74"/>
      <c r="JA2078" s="74"/>
    </row>
    <row r="2079" spans="1:261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Q2079" s="74"/>
      <c r="R2079" s="74"/>
      <c r="S2079" s="74"/>
      <c r="T2079" s="74"/>
      <c r="U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  <c r="IW2079" s="74"/>
      <c r="IX2079" s="74"/>
      <c r="IY2079" s="74"/>
      <c r="IZ2079" s="74"/>
      <c r="JA2079" s="74"/>
    </row>
    <row r="2080" spans="1:261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Q2080" s="74"/>
      <c r="R2080" s="74"/>
      <c r="S2080" s="74"/>
      <c r="T2080" s="74"/>
      <c r="U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  <c r="IW2080" s="74"/>
      <c r="IX2080" s="74"/>
      <c r="IY2080" s="74"/>
      <c r="IZ2080" s="74"/>
      <c r="JA2080" s="74"/>
    </row>
    <row r="2081" spans="1:261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Q2081" s="74"/>
      <c r="R2081" s="74"/>
      <c r="S2081" s="74"/>
      <c r="T2081" s="74"/>
      <c r="U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  <c r="IW2081" s="74"/>
      <c r="IX2081" s="74"/>
      <c r="IY2081" s="74"/>
      <c r="IZ2081" s="74"/>
      <c r="JA2081" s="74"/>
    </row>
    <row r="2082" spans="1:261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Q2082" s="74"/>
      <c r="R2082" s="74"/>
      <c r="S2082" s="74"/>
      <c r="T2082" s="74"/>
      <c r="U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  <c r="IW2082" s="74"/>
      <c r="IX2082" s="74"/>
      <c r="IY2082" s="74"/>
      <c r="IZ2082" s="74"/>
      <c r="JA2082" s="74"/>
    </row>
    <row r="2083" spans="1:261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Q2083" s="74"/>
      <c r="R2083" s="74"/>
      <c r="S2083" s="74"/>
      <c r="T2083" s="74"/>
      <c r="U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  <c r="IW2083" s="74"/>
      <c r="IX2083" s="74"/>
      <c r="IY2083" s="74"/>
      <c r="IZ2083" s="74"/>
      <c r="JA2083" s="74"/>
    </row>
    <row r="2084" spans="1:261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Q2084" s="74"/>
      <c r="R2084" s="74"/>
      <c r="S2084" s="74"/>
      <c r="T2084" s="74"/>
      <c r="U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  <c r="IW2084" s="74"/>
      <c r="IX2084" s="74"/>
      <c r="IY2084" s="74"/>
      <c r="IZ2084" s="74"/>
      <c r="JA2084" s="74"/>
    </row>
    <row r="2085" spans="1:261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Q2085" s="74"/>
      <c r="R2085" s="74"/>
      <c r="S2085" s="74"/>
      <c r="T2085" s="74"/>
      <c r="U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  <c r="IW2085" s="74"/>
      <c r="IX2085" s="74"/>
      <c r="IY2085" s="74"/>
      <c r="IZ2085" s="74"/>
      <c r="JA2085" s="74"/>
    </row>
    <row r="2086" spans="1:261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Q2086" s="74"/>
      <c r="R2086" s="74"/>
      <c r="S2086" s="74"/>
      <c r="T2086" s="74"/>
      <c r="U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  <c r="IW2086" s="74"/>
      <c r="IX2086" s="74"/>
      <c r="IY2086" s="74"/>
      <c r="IZ2086" s="74"/>
      <c r="JA2086" s="74"/>
    </row>
    <row r="2087" spans="1:261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Q2087" s="74"/>
      <c r="R2087" s="74"/>
      <c r="S2087" s="74"/>
      <c r="T2087" s="74"/>
      <c r="U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  <c r="IW2087" s="74"/>
      <c r="IX2087" s="74"/>
      <c r="IY2087" s="74"/>
      <c r="IZ2087" s="74"/>
      <c r="JA2087" s="74"/>
    </row>
    <row r="2088" spans="1:261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Q2088" s="74"/>
      <c r="R2088" s="74"/>
      <c r="S2088" s="74"/>
      <c r="T2088" s="74"/>
      <c r="U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  <c r="IW2088" s="74"/>
      <c r="IX2088" s="74"/>
      <c r="IY2088" s="74"/>
      <c r="IZ2088" s="74"/>
      <c r="JA2088" s="74"/>
    </row>
    <row r="2089" spans="1:261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Q2089" s="74"/>
      <c r="R2089" s="74"/>
      <c r="S2089" s="74"/>
      <c r="T2089" s="74"/>
      <c r="U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  <c r="IW2089" s="74"/>
      <c r="IX2089" s="74"/>
      <c r="IY2089" s="74"/>
      <c r="IZ2089" s="74"/>
      <c r="JA2089" s="74"/>
    </row>
    <row r="2090" spans="1:261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Q2090" s="74"/>
      <c r="R2090" s="74"/>
      <c r="S2090" s="74"/>
      <c r="T2090" s="74"/>
      <c r="U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  <c r="IW2090" s="74"/>
      <c r="IX2090" s="74"/>
      <c r="IY2090" s="74"/>
      <c r="IZ2090" s="74"/>
      <c r="JA2090" s="74"/>
    </row>
    <row r="2091" spans="1:261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Q2091" s="74"/>
      <c r="R2091" s="74"/>
      <c r="S2091" s="74"/>
      <c r="T2091" s="74"/>
      <c r="U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  <c r="IW2091" s="74"/>
      <c r="IX2091" s="74"/>
      <c r="IY2091" s="74"/>
      <c r="IZ2091" s="74"/>
      <c r="JA2091" s="74"/>
    </row>
    <row r="2092" spans="1:261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Q2092" s="74"/>
      <c r="R2092" s="74"/>
      <c r="S2092" s="74"/>
      <c r="T2092" s="74"/>
      <c r="U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  <c r="IW2092" s="74"/>
      <c r="IX2092" s="74"/>
      <c r="IY2092" s="74"/>
      <c r="IZ2092" s="74"/>
      <c r="JA2092" s="74"/>
    </row>
    <row r="2093" spans="1:261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Q2093" s="74"/>
      <c r="R2093" s="74"/>
      <c r="S2093" s="74"/>
      <c r="T2093" s="74"/>
      <c r="U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  <c r="IW2093" s="74"/>
      <c r="IX2093" s="74"/>
      <c r="IY2093" s="74"/>
      <c r="IZ2093" s="74"/>
      <c r="JA2093" s="74"/>
    </row>
    <row r="2094" spans="1:261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74"/>
      <c r="R2094" s="74"/>
      <c r="S2094" s="74"/>
      <c r="T2094" s="74"/>
      <c r="U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  <c r="IW2094" s="74"/>
      <c r="IX2094" s="74"/>
      <c r="IY2094" s="74"/>
      <c r="IZ2094" s="74"/>
      <c r="JA2094" s="74"/>
    </row>
    <row r="2095" spans="1:261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Q2095" s="74"/>
      <c r="R2095" s="74"/>
      <c r="S2095" s="74"/>
      <c r="T2095" s="74"/>
      <c r="U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  <c r="IW2095" s="74"/>
      <c r="IX2095" s="74"/>
      <c r="IY2095" s="74"/>
      <c r="IZ2095" s="74"/>
      <c r="JA2095" s="74"/>
    </row>
    <row r="2096" spans="1:261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Q2096" s="74"/>
      <c r="R2096" s="74"/>
      <c r="S2096" s="74"/>
      <c r="T2096" s="74"/>
      <c r="U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  <c r="IW2096" s="74"/>
      <c r="IX2096" s="74"/>
      <c r="IY2096" s="74"/>
      <c r="IZ2096" s="74"/>
      <c r="JA2096" s="74"/>
    </row>
    <row r="2097" spans="1:261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Q2097" s="74"/>
      <c r="R2097" s="74"/>
      <c r="S2097" s="74"/>
      <c r="T2097" s="74"/>
      <c r="U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  <c r="IW2097" s="74"/>
      <c r="IX2097" s="74"/>
      <c r="IY2097" s="74"/>
      <c r="IZ2097" s="74"/>
      <c r="JA2097" s="74"/>
    </row>
    <row r="2098" spans="1:261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Q2098" s="74"/>
      <c r="R2098" s="74"/>
      <c r="S2098" s="74"/>
      <c r="T2098" s="74"/>
      <c r="U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  <c r="IW2098" s="74"/>
      <c r="IX2098" s="74"/>
      <c r="IY2098" s="74"/>
      <c r="IZ2098" s="74"/>
      <c r="JA2098" s="74"/>
    </row>
    <row r="2099" spans="1:261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Q2099" s="74"/>
      <c r="R2099" s="74"/>
      <c r="S2099" s="74"/>
      <c r="T2099" s="74"/>
      <c r="U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  <c r="IW2099" s="74"/>
      <c r="IX2099" s="74"/>
      <c r="IY2099" s="74"/>
      <c r="IZ2099" s="74"/>
      <c r="JA2099" s="74"/>
    </row>
    <row r="2100" spans="1:261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Q2100" s="74"/>
      <c r="R2100" s="74"/>
      <c r="S2100" s="74"/>
      <c r="T2100" s="74"/>
      <c r="U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  <c r="IW2100" s="74"/>
      <c r="IX2100" s="74"/>
      <c r="IY2100" s="74"/>
      <c r="IZ2100" s="74"/>
      <c r="JA2100" s="74"/>
    </row>
    <row r="2101" spans="1:261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Q2101" s="74"/>
      <c r="R2101" s="74"/>
      <c r="S2101" s="74"/>
      <c r="T2101" s="74"/>
      <c r="U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  <c r="IW2101" s="74"/>
      <c r="IX2101" s="74"/>
      <c r="IY2101" s="74"/>
      <c r="IZ2101" s="74"/>
      <c r="JA2101" s="74"/>
    </row>
    <row r="2102" spans="1:261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Q2102" s="74"/>
      <c r="R2102" s="74"/>
      <c r="S2102" s="74"/>
      <c r="T2102" s="74"/>
      <c r="U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  <c r="IW2102" s="74"/>
      <c r="IX2102" s="74"/>
      <c r="IY2102" s="74"/>
      <c r="IZ2102" s="74"/>
      <c r="JA2102" s="74"/>
    </row>
    <row r="2103" spans="1:261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Q2103" s="74"/>
      <c r="R2103" s="74"/>
      <c r="S2103" s="74"/>
      <c r="T2103" s="74"/>
      <c r="U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  <c r="IW2103" s="74"/>
      <c r="IX2103" s="74"/>
      <c r="IY2103" s="74"/>
      <c r="IZ2103" s="74"/>
      <c r="JA2103" s="74"/>
    </row>
    <row r="2104" spans="1:261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Q2104" s="74"/>
      <c r="R2104" s="74"/>
      <c r="S2104" s="74"/>
      <c r="T2104" s="74"/>
      <c r="U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  <c r="IW2104" s="74"/>
      <c r="IX2104" s="74"/>
      <c r="IY2104" s="74"/>
      <c r="IZ2104" s="74"/>
      <c r="JA2104" s="74"/>
    </row>
    <row r="2105" spans="1:261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Q2105" s="74"/>
      <c r="R2105" s="74"/>
      <c r="S2105" s="74"/>
      <c r="T2105" s="74"/>
      <c r="U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  <c r="IW2105" s="74"/>
      <c r="IX2105" s="74"/>
      <c r="IY2105" s="74"/>
      <c r="IZ2105" s="74"/>
      <c r="JA2105" s="74"/>
    </row>
    <row r="2106" spans="1:261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Q2106" s="74"/>
      <c r="R2106" s="74"/>
      <c r="S2106" s="74"/>
      <c r="T2106" s="74"/>
      <c r="U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  <c r="IW2106" s="74"/>
      <c r="IX2106" s="74"/>
      <c r="IY2106" s="74"/>
      <c r="IZ2106" s="74"/>
      <c r="JA2106" s="74"/>
    </row>
    <row r="2107" spans="1:261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Q2107" s="74"/>
      <c r="R2107" s="74"/>
      <c r="S2107" s="74"/>
      <c r="T2107" s="74"/>
      <c r="U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  <c r="IW2107" s="74"/>
      <c r="IX2107" s="74"/>
      <c r="IY2107" s="74"/>
      <c r="IZ2107" s="74"/>
      <c r="JA2107" s="74"/>
    </row>
    <row r="2108" spans="1:261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Q2108" s="74"/>
      <c r="R2108" s="74"/>
      <c r="S2108" s="74"/>
      <c r="T2108" s="74"/>
      <c r="U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  <c r="IW2108" s="74"/>
      <c r="IX2108" s="74"/>
      <c r="IY2108" s="74"/>
      <c r="IZ2108" s="74"/>
      <c r="JA2108" s="74"/>
    </row>
    <row r="2109" spans="1:261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Q2109" s="74"/>
      <c r="R2109" s="74"/>
      <c r="S2109" s="74"/>
      <c r="T2109" s="74"/>
      <c r="U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  <c r="IW2109" s="74"/>
      <c r="IX2109" s="74"/>
      <c r="IY2109" s="74"/>
      <c r="IZ2109" s="74"/>
      <c r="JA2109" s="74"/>
    </row>
    <row r="2110" spans="1:261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Q2110" s="74"/>
      <c r="R2110" s="74"/>
      <c r="S2110" s="74"/>
      <c r="T2110" s="74"/>
      <c r="U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  <c r="IW2110" s="74"/>
      <c r="IX2110" s="74"/>
      <c r="IY2110" s="74"/>
      <c r="IZ2110" s="74"/>
      <c r="JA2110" s="74"/>
    </row>
    <row r="2111" spans="1:261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Q2111" s="74"/>
      <c r="R2111" s="74"/>
      <c r="S2111" s="74"/>
      <c r="T2111" s="74"/>
      <c r="U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  <c r="IW2111" s="74"/>
      <c r="IX2111" s="74"/>
      <c r="IY2111" s="74"/>
      <c r="IZ2111" s="74"/>
      <c r="JA2111" s="74"/>
    </row>
    <row r="2112" spans="1:261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Q2112" s="74"/>
      <c r="R2112" s="74"/>
      <c r="S2112" s="74"/>
      <c r="T2112" s="74"/>
      <c r="U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  <c r="IW2112" s="74"/>
      <c r="IX2112" s="74"/>
      <c r="IY2112" s="74"/>
      <c r="IZ2112" s="74"/>
      <c r="JA2112" s="74"/>
    </row>
    <row r="2113" spans="1:261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Q2113" s="74"/>
      <c r="R2113" s="74"/>
      <c r="S2113" s="74"/>
      <c r="T2113" s="74"/>
      <c r="U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  <c r="IW2113" s="74"/>
      <c r="IX2113" s="74"/>
      <c r="IY2113" s="74"/>
      <c r="IZ2113" s="74"/>
      <c r="JA2113" s="74"/>
    </row>
    <row r="2114" spans="1:261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Q2114" s="74"/>
      <c r="R2114" s="74"/>
      <c r="S2114" s="74"/>
      <c r="T2114" s="74"/>
      <c r="U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  <c r="IW2114" s="74"/>
      <c r="IX2114" s="74"/>
      <c r="IY2114" s="74"/>
      <c r="IZ2114" s="74"/>
      <c r="JA2114" s="74"/>
    </row>
    <row r="2115" spans="1:261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Q2115" s="74"/>
      <c r="R2115" s="74"/>
      <c r="S2115" s="74"/>
      <c r="T2115" s="74"/>
      <c r="U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  <c r="IW2115" s="74"/>
      <c r="IX2115" s="74"/>
      <c r="IY2115" s="74"/>
      <c r="IZ2115" s="74"/>
      <c r="JA2115" s="74"/>
    </row>
    <row r="2116" spans="1:261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  <c r="U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  <c r="IW2116" s="74"/>
      <c r="IX2116" s="74"/>
      <c r="IY2116" s="74"/>
      <c r="IZ2116" s="74"/>
      <c r="JA2116" s="74"/>
    </row>
    <row r="2117" spans="1:261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  <c r="U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  <c r="IW2117" s="74"/>
      <c r="IX2117" s="74"/>
      <c r="IY2117" s="74"/>
      <c r="IZ2117" s="74"/>
      <c r="JA2117" s="74"/>
    </row>
    <row r="2118" spans="1:261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Q2118" s="74"/>
      <c r="R2118" s="74"/>
      <c r="S2118" s="74"/>
      <c r="T2118" s="74"/>
      <c r="U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  <c r="IW2118" s="74"/>
      <c r="IX2118" s="74"/>
      <c r="IY2118" s="74"/>
      <c r="IZ2118" s="74"/>
      <c r="JA2118" s="74"/>
    </row>
    <row r="2119" spans="1:261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Q2119" s="74"/>
      <c r="R2119" s="74"/>
      <c r="S2119" s="74"/>
      <c r="T2119" s="74"/>
      <c r="U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  <c r="IW2119" s="74"/>
      <c r="IX2119" s="74"/>
      <c r="IY2119" s="74"/>
      <c r="IZ2119" s="74"/>
      <c r="JA2119" s="74"/>
    </row>
    <row r="2120" spans="1:261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Q2120" s="74"/>
      <c r="R2120" s="74"/>
      <c r="S2120" s="74"/>
      <c r="T2120" s="74"/>
      <c r="U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  <c r="IW2120" s="74"/>
      <c r="IX2120" s="74"/>
      <c r="IY2120" s="74"/>
      <c r="IZ2120" s="74"/>
      <c r="JA2120" s="74"/>
    </row>
    <row r="2121" spans="1:261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Q2121" s="74"/>
      <c r="R2121" s="74"/>
      <c r="S2121" s="74"/>
      <c r="T2121" s="74"/>
      <c r="U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  <c r="IW2121" s="74"/>
      <c r="IX2121" s="74"/>
      <c r="IY2121" s="74"/>
      <c r="IZ2121" s="74"/>
      <c r="JA2121" s="74"/>
    </row>
    <row r="2122" spans="1:261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Q2122" s="74"/>
      <c r="R2122" s="74"/>
      <c r="S2122" s="74"/>
      <c r="T2122" s="74"/>
      <c r="U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  <c r="IW2122" s="74"/>
      <c r="IX2122" s="74"/>
      <c r="IY2122" s="74"/>
      <c r="IZ2122" s="74"/>
      <c r="JA2122" s="74"/>
    </row>
    <row r="2123" spans="1:261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Q2123" s="74"/>
      <c r="R2123" s="74"/>
      <c r="S2123" s="74"/>
      <c r="T2123" s="74"/>
      <c r="U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  <c r="IW2123" s="74"/>
      <c r="IX2123" s="74"/>
      <c r="IY2123" s="74"/>
      <c r="IZ2123" s="74"/>
      <c r="JA2123" s="74"/>
    </row>
    <row r="2124" spans="1:261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Q2124" s="74"/>
      <c r="R2124" s="74"/>
      <c r="S2124" s="74"/>
      <c r="T2124" s="74"/>
      <c r="U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  <c r="IW2124" s="74"/>
      <c r="IX2124" s="74"/>
      <c r="IY2124" s="74"/>
      <c r="IZ2124" s="74"/>
      <c r="JA2124" s="74"/>
    </row>
    <row r="2125" spans="1:261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Q2125" s="74"/>
      <c r="R2125" s="74"/>
      <c r="S2125" s="74"/>
      <c r="T2125" s="74"/>
      <c r="U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  <c r="IW2125" s="74"/>
      <c r="IX2125" s="74"/>
      <c r="IY2125" s="74"/>
      <c r="IZ2125" s="74"/>
      <c r="JA2125" s="74"/>
    </row>
    <row r="2126" spans="1:261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Q2126" s="74"/>
      <c r="R2126" s="74"/>
      <c r="S2126" s="74"/>
      <c r="T2126" s="74"/>
      <c r="U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  <c r="IW2126" s="74"/>
      <c r="IX2126" s="74"/>
      <c r="IY2126" s="74"/>
      <c r="IZ2126" s="74"/>
      <c r="JA2126" s="74"/>
    </row>
    <row r="2127" spans="1:261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Q2127" s="74"/>
      <c r="R2127" s="74"/>
      <c r="S2127" s="74"/>
      <c r="T2127" s="74"/>
      <c r="U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  <c r="IW2127" s="74"/>
      <c r="IX2127" s="74"/>
      <c r="IY2127" s="74"/>
      <c r="IZ2127" s="74"/>
      <c r="JA2127" s="74"/>
    </row>
    <row r="2128" spans="1:261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Q2128" s="74"/>
      <c r="R2128" s="74"/>
      <c r="S2128" s="74"/>
      <c r="T2128" s="74"/>
      <c r="U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  <c r="IW2128" s="74"/>
      <c r="IX2128" s="74"/>
      <c r="IY2128" s="74"/>
      <c r="IZ2128" s="74"/>
      <c r="JA2128" s="74"/>
    </row>
    <row r="2129" spans="1:261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Q2129" s="74"/>
      <c r="R2129" s="74"/>
      <c r="S2129" s="74"/>
      <c r="T2129" s="74"/>
      <c r="U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  <c r="IW2129" s="74"/>
      <c r="IX2129" s="74"/>
      <c r="IY2129" s="74"/>
      <c r="IZ2129" s="74"/>
      <c r="JA2129" s="74"/>
    </row>
    <row r="2130" spans="1:261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Q2130" s="74"/>
      <c r="R2130" s="74"/>
      <c r="S2130" s="74"/>
      <c r="T2130" s="74"/>
      <c r="U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  <c r="IW2130" s="74"/>
      <c r="IX2130" s="74"/>
      <c r="IY2130" s="74"/>
      <c r="IZ2130" s="74"/>
      <c r="JA2130" s="74"/>
    </row>
    <row r="2131" spans="1:261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Q2131" s="74"/>
      <c r="R2131" s="74"/>
      <c r="S2131" s="74"/>
      <c r="T2131" s="74"/>
      <c r="U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  <c r="IW2131" s="74"/>
      <c r="IX2131" s="74"/>
      <c r="IY2131" s="74"/>
      <c r="IZ2131" s="74"/>
      <c r="JA2131" s="74"/>
    </row>
    <row r="2132" spans="1:261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Q2132" s="74"/>
      <c r="R2132" s="74"/>
      <c r="S2132" s="74"/>
      <c r="T2132" s="74"/>
      <c r="U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  <c r="IW2132" s="74"/>
      <c r="IX2132" s="74"/>
      <c r="IY2132" s="74"/>
      <c r="IZ2132" s="74"/>
      <c r="JA2132" s="74"/>
    </row>
    <row r="2133" spans="1:261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Q2133" s="74"/>
      <c r="R2133" s="74"/>
      <c r="S2133" s="74"/>
      <c r="T2133" s="74"/>
      <c r="U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  <c r="IW2133" s="74"/>
      <c r="IX2133" s="74"/>
      <c r="IY2133" s="74"/>
      <c r="IZ2133" s="74"/>
      <c r="JA2133" s="74"/>
    </row>
    <row r="2134" spans="1:261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Q2134" s="74"/>
      <c r="R2134" s="74"/>
      <c r="S2134" s="74"/>
      <c r="T2134" s="74"/>
      <c r="U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  <c r="IW2134" s="74"/>
      <c r="IX2134" s="74"/>
      <c r="IY2134" s="74"/>
      <c r="IZ2134" s="74"/>
      <c r="JA2134" s="74"/>
    </row>
    <row r="2135" spans="1:261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Q2135" s="74"/>
      <c r="R2135" s="74"/>
      <c r="S2135" s="74"/>
      <c r="T2135" s="74"/>
      <c r="U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  <c r="IW2135" s="74"/>
      <c r="IX2135" s="74"/>
      <c r="IY2135" s="74"/>
      <c r="IZ2135" s="74"/>
      <c r="JA2135" s="74"/>
    </row>
    <row r="2136" spans="1:261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Q2136" s="74"/>
      <c r="R2136" s="74"/>
      <c r="S2136" s="74"/>
      <c r="T2136" s="74"/>
      <c r="U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  <c r="IW2136" s="74"/>
      <c r="IX2136" s="74"/>
      <c r="IY2136" s="74"/>
      <c r="IZ2136" s="74"/>
      <c r="JA2136" s="74"/>
    </row>
    <row r="2137" spans="1:261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Q2137" s="74"/>
      <c r="R2137" s="74"/>
      <c r="S2137" s="74"/>
      <c r="T2137" s="74"/>
      <c r="U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  <c r="IW2137" s="74"/>
      <c r="IX2137" s="74"/>
      <c r="IY2137" s="74"/>
      <c r="IZ2137" s="74"/>
      <c r="JA2137" s="74"/>
    </row>
    <row r="2138" spans="1:261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Q2138" s="74"/>
      <c r="R2138" s="74"/>
      <c r="S2138" s="74"/>
      <c r="T2138" s="74"/>
      <c r="U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  <c r="IW2138" s="74"/>
      <c r="IX2138" s="74"/>
      <c r="IY2138" s="74"/>
      <c r="IZ2138" s="74"/>
      <c r="JA2138" s="74"/>
    </row>
    <row r="2139" spans="1:261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Q2139" s="74"/>
      <c r="R2139" s="74"/>
      <c r="S2139" s="74"/>
      <c r="T2139" s="74"/>
      <c r="U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  <c r="IW2139" s="74"/>
      <c r="IX2139" s="74"/>
      <c r="IY2139" s="74"/>
      <c r="IZ2139" s="74"/>
      <c r="JA2139" s="74"/>
    </row>
    <row r="2140" spans="1:261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Q2140" s="74"/>
      <c r="R2140" s="74"/>
      <c r="S2140" s="74"/>
      <c r="T2140" s="74"/>
      <c r="U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  <c r="IW2140" s="74"/>
      <c r="IX2140" s="74"/>
      <c r="IY2140" s="74"/>
      <c r="IZ2140" s="74"/>
      <c r="JA2140" s="74"/>
    </row>
    <row r="2141" spans="1:261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Q2141" s="74"/>
      <c r="R2141" s="74"/>
      <c r="S2141" s="74"/>
      <c r="T2141" s="74"/>
      <c r="U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  <c r="IW2141" s="74"/>
      <c r="IX2141" s="74"/>
      <c r="IY2141" s="74"/>
      <c r="IZ2141" s="74"/>
      <c r="JA2141" s="74"/>
    </row>
    <row r="2142" spans="1:261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Q2142" s="74"/>
      <c r="R2142" s="74"/>
      <c r="S2142" s="74"/>
      <c r="T2142" s="74"/>
      <c r="U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  <c r="IW2142" s="74"/>
      <c r="IX2142" s="74"/>
      <c r="IY2142" s="74"/>
      <c r="IZ2142" s="74"/>
      <c r="JA2142" s="74"/>
    </row>
    <row r="2143" spans="1:261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Q2143" s="74"/>
      <c r="R2143" s="74"/>
      <c r="S2143" s="74"/>
      <c r="T2143" s="74"/>
      <c r="U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  <c r="IW2143" s="74"/>
      <c r="IX2143" s="74"/>
      <c r="IY2143" s="74"/>
      <c r="IZ2143" s="74"/>
      <c r="JA2143" s="74"/>
    </row>
    <row r="2144" spans="1:261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Q2144" s="74"/>
      <c r="R2144" s="74"/>
      <c r="S2144" s="74"/>
      <c r="T2144" s="74"/>
      <c r="U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  <c r="IW2144" s="74"/>
      <c r="IX2144" s="74"/>
      <c r="IY2144" s="74"/>
      <c r="IZ2144" s="74"/>
      <c r="JA2144" s="74"/>
    </row>
    <row r="2145" spans="1:261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Q2145" s="74"/>
      <c r="R2145" s="74"/>
      <c r="S2145" s="74"/>
      <c r="T2145" s="74"/>
      <c r="U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  <c r="IW2145" s="74"/>
      <c r="IX2145" s="74"/>
      <c r="IY2145" s="74"/>
      <c r="IZ2145" s="74"/>
      <c r="JA2145" s="74"/>
    </row>
    <row r="2146" spans="1:261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Q2146" s="74"/>
      <c r="R2146" s="74"/>
      <c r="S2146" s="74"/>
      <c r="T2146" s="74"/>
      <c r="U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  <c r="IW2146" s="74"/>
      <c r="IX2146" s="74"/>
      <c r="IY2146" s="74"/>
      <c r="IZ2146" s="74"/>
      <c r="JA2146" s="74"/>
    </row>
    <row r="2147" spans="1:261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Q2147" s="74"/>
      <c r="R2147" s="74"/>
      <c r="S2147" s="74"/>
      <c r="T2147" s="74"/>
      <c r="U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  <c r="IW2147" s="74"/>
      <c r="IX2147" s="74"/>
      <c r="IY2147" s="74"/>
      <c r="IZ2147" s="74"/>
      <c r="JA2147" s="74"/>
    </row>
    <row r="2148" spans="1:261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Q2148" s="74"/>
      <c r="R2148" s="74"/>
      <c r="S2148" s="74"/>
      <c r="T2148" s="74"/>
      <c r="U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  <c r="IW2148" s="74"/>
      <c r="IX2148" s="74"/>
      <c r="IY2148" s="74"/>
      <c r="IZ2148" s="74"/>
      <c r="JA2148" s="74"/>
    </row>
    <row r="2149" spans="1:261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Q2149" s="74"/>
      <c r="R2149" s="74"/>
      <c r="S2149" s="74"/>
      <c r="T2149" s="74"/>
      <c r="U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  <c r="IW2149" s="74"/>
      <c r="IX2149" s="74"/>
      <c r="IY2149" s="74"/>
      <c r="IZ2149" s="74"/>
      <c r="JA2149" s="74"/>
    </row>
    <row r="2150" spans="1:261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Q2150" s="74"/>
      <c r="R2150" s="74"/>
      <c r="S2150" s="74"/>
      <c r="T2150" s="74"/>
      <c r="U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  <c r="IW2150" s="74"/>
      <c r="IX2150" s="74"/>
      <c r="IY2150" s="74"/>
      <c r="IZ2150" s="74"/>
      <c r="JA2150" s="74"/>
    </row>
    <row r="2151" spans="1:261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Q2151" s="74"/>
      <c r="R2151" s="74"/>
      <c r="S2151" s="74"/>
      <c r="T2151" s="74"/>
      <c r="U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  <c r="IW2151" s="74"/>
      <c r="IX2151" s="74"/>
      <c r="IY2151" s="74"/>
      <c r="IZ2151" s="74"/>
      <c r="JA2151" s="74"/>
    </row>
    <row r="2152" spans="1:261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Q2152" s="74"/>
      <c r="R2152" s="74"/>
      <c r="S2152" s="74"/>
      <c r="T2152" s="74"/>
      <c r="U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  <c r="IW2152" s="74"/>
      <c r="IX2152" s="74"/>
      <c r="IY2152" s="74"/>
      <c r="IZ2152" s="74"/>
      <c r="JA2152" s="74"/>
    </row>
    <row r="2153" spans="1:261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Q2153" s="74"/>
      <c r="R2153" s="74"/>
      <c r="S2153" s="74"/>
      <c r="T2153" s="74"/>
      <c r="U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  <c r="IW2153" s="74"/>
      <c r="IX2153" s="74"/>
      <c r="IY2153" s="74"/>
      <c r="IZ2153" s="74"/>
      <c r="JA2153" s="74"/>
    </row>
    <row r="2154" spans="1:261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Q2154" s="74"/>
      <c r="R2154" s="74"/>
      <c r="S2154" s="74"/>
      <c r="T2154" s="74"/>
      <c r="U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  <c r="IW2154" s="74"/>
      <c r="IX2154" s="74"/>
      <c r="IY2154" s="74"/>
      <c r="IZ2154" s="74"/>
      <c r="JA2154" s="74"/>
    </row>
    <row r="2155" spans="1:261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Q2155" s="74"/>
      <c r="R2155" s="74"/>
      <c r="S2155" s="74"/>
      <c r="T2155" s="74"/>
      <c r="U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  <c r="IW2155" s="74"/>
      <c r="IX2155" s="74"/>
      <c r="IY2155" s="74"/>
      <c r="IZ2155" s="74"/>
      <c r="JA2155" s="74"/>
    </row>
    <row r="2156" spans="1:261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Q2156" s="74"/>
      <c r="R2156" s="74"/>
      <c r="S2156" s="74"/>
      <c r="T2156" s="74"/>
      <c r="U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  <c r="IW2156" s="74"/>
      <c r="IX2156" s="74"/>
      <c r="IY2156" s="74"/>
      <c r="IZ2156" s="74"/>
      <c r="JA2156" s="74"/>
    </row>
    <row r="2157" spans="1:261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Q2157" s="74"/>
      <c r="R2157" s="74"/>
      <c r="S2157" s="74"/>
      <c r="T2157" s="74"/>
      <c r="U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  <c r="IW2157" s="74"/>
      <c r="IX2157" s="74"/>
      <c r="IY2157" s="74"/>
      <c r="IZ2157" s="74"/>
      <c r="JA2157" s="74"/>
    </row>
    <row r="2158" spans="1:261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Q2158" s="74"/>
      <c r="R2158" s="74"/>
      <c r="S2158" s="74"/>
      <c r="T2158" s="74"/>
      <c r="U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  <c r="IW2158" s="74"/>
      <c r="IX2158" s="74"/>
      <c r="IY2158" s="74"/>
      <c r="IZ2158" s="74"/>
      <c r="JA2158" s="74"/>
    </row>
    <row r="2159" spans="1:261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Q2159" s="74"/>
      <c r="R2159" s="74"/>
      <c r="S2159" s="74"/>
      <c r="T2159" s="74"/>
      <c r="U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  <c r="IW2159" s="74"/>
      <c r="IX2159" s="74"/>
      <c r="IY2159" s="74"/>
      <c r="IZ2159" s="74"/>
      <c r="JA2159" s="74"/>
    </row>
    <row r="2160" spans="1:261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Q2160" s="74"/>
      <c r="R2160" s="74"/>
      <c r="S2160" s="74"/>
      <c r="T2160" s="74"/>
      <c r="U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  <c r="IW2160" s="74"/>
      <c r="IX2160" s="74"/>
      <c r="IY2160" s="74"/>
      <c r="IZ2160" s="74"/>
      <c r="JA2160" s="74"/>
    </row>
    <row r="2161" spans="1:261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  <c r="U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  <c r="IW2161" s="74"/>
      <c r="IX2161" s="74"/>
      <c r="IY2161" s="74"/>
      <c r="IZ2161" s="74"/>
      <c r="JA2161" s="74"/>
    </row>
    <row r="2162" spans="1:261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  <c r="U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  <c r="IW2162" s="74"/>
      <c r="IX2162" s="74"/>
      <c r="IY2162" s="74"/>
      <c r="IZ2162" s="74"/>
      <c r="JA2162" s="74"/>
    </row>
    <row r="2163" spans="1:261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Q2163" s="74"/>
      <c r="R2163" s="74"/>
      <c r="S2163" s="74"/>
      <c r="T2163" s="74"/>
      <c r="U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  <c r="IW2163" s="74"/>
      <c r="IX2163" s="74"/>
      <c r="IY2163" s="74"/>
      <c r="IZ2163" s="74"/>
      <c r="JA2163" s="74"/>
    </row>
    <row r="2164" spans="1:261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Q2164" s="74"/>
      <c r="R2164" s="74"/>
      <c r="S2164" s="74"/>
      <c r="T2164" s="74"/>
      <c r="U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  <c r="IW2164" s="74"/>
      <c r="IX2164" s="74"/>
      <c r="IY2164" s="74"/>
      <c r="IZ2164" s="74"/>
      <c r="JA2164" s="74"/>
    </row>
    <row r="2165" spans="1:261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Q2165" s="74"/>
      <c r="R2165" s="74"/>
      <c r="S2165" s="74"/>
      <c r="T2165" s="74"/>
      <c r="U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  <c r="IW2165" s="74"/>
      <c r="IX2165" s="74"/>
      <c r="IY2165" s="74"/>
      <c r="IZ2165" s="74"/>
      <c r="JA2165" s="74"/>
    </row>
    <row r="2166" spans="1:261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Q2166" s="74"/>
      <c r="R2166" s="74"/>
      <c r="S2166" s="74"/>
      <c r="T2166" s="74"/>
      <c r="U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  <c r="IW2166" s="74"/>
      <c r="IX2166" s="74"/>
      <c r="IY2166" s="74"/>
      <c r="IZ2166" s="74"/>
      <c r="JA2166" s="74"/>
    </row>
    <row r="2167" spans="1:261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Q2167" s="74"/>
      <c r="R2167" s="74"/>
      <c r="S2167" s="74"/>
      <c r="T2167" s="74"/>
      <c r="U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  <c r="IW2167" s="74"/>
      <c r="IX2167" s="74"/>
      <c r="IY2167" s="74"/>
      <c r="IZ2167" s="74"/>
      <c r="JA2167" s="74"/>
    </row>
    <row r="2168" spans="1:261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Q2168" s="74"/>
      <c r="R2168" s="74"/>
      <c r="S2168" s="74"/>
      <c r="T2168" s="74"/>
      <c r="U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  <c r="IW2168" s="74"/>
      <c r="IX2168" s="74"/>
      <c r="IY2168" s="74"/>
      <c r="IZ2168" s="74"/>
      <c r="JA2168" s="74"/>
    </row>
    <row r="2169" spans="1:261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Q2169" s="74"/>
      <c r="R2169" s="74"/>
      <c r="S2169" s="74"/>
      <c r="T2169" s="74"/>
      <c r="U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  <c r="IW2169" s="74"/>
      <c r="IX2169" s="74"/>
      <c r="IY2169" s="74"/>
      <c r="IZ2169" s="74"/>
      <c r="JA2169" s="74"/>
    </row>
    <row r="2170" spans="1:261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Q2170" s="74"/>
      <c r="R2170" s="74"/>
      <c r="S2170" s="74"/>
      <c r="T2170" s="74"/>
      <c r="U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  <c r="IW2170" s="74"/>
      <c r="IX2170" s="74"/>
      <c r="IY2170" s="74"/>
      <c r="IZ2170" s="74"/>
      <c r="JA2170" s="74"/>
    </row>
    <row r="2171" spans="1:261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Q2171" s="74"/>
      <c r="R2171" s="74"/>
      <c r="S2171" s="74"/>
      <c r="T2171" s="74"/>
      <c r="U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  <c r="IW2171" s="74"/>
      <c r="IX2171" s="74"/>
      <c r="IY2171" s="74"/>
      <c r="IZ2171" s="74"/>
      <c r="JA2171" s="74"/>
    </row>
    <row r="2172" spans="1:261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Q2172" s="74"/>
      <c r="R2172" s="74"/>
      <c r="S2172" s="74"/>
      <c r="T2172" s="74"/>
      <c r="U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  <c r="IW2172" s="74"/>
      <c r="IX2172" s="74"/>
      <c r="IY2172" s="74"/>
      <c r="IZ2172" s="74"/>
      <c r="JA2172" s="74"/>
    </row>
    <row r="2173" spans="1:261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Q2173" s="74"/>
      <c r="R2173" s="74"/>
      <c r="S2173" s="74"/>
      <c r="T2173" s="74"/>
      <c r="U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  <c r="IW2173" s="74"/>
      <c r="IX2173" s="74"/>
      <c r="IY2173" s="74"/>
      <c r="IZ2173" s="74"/>
      <c r="JA2173" s="74"/>
    </row>
    <row r="2174" spans="1:261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Q2174" s="74"/>
      <c r="R2174" s="74"/>
      <c r="S2174" s="74"/>
      <c r="T2174" s="74"/>
      <c r="U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  <c r="IW2174" s="74"/>
      <c r="IX2174" s="74"/>
      <c r="IY2174" s="74"/>
      <c r="IZ2174" s="74"/>
      <c r="JA2174" s="74"/>
    </row>
    <row r="2175" spans="1:261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Q2175" s="74"/>
      <c r="R2175" s="74"/>
      <c r="S2175" s="74"/>
      <c r="T2175" s="74"/>
      <c r="U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  <c r="IW2175" s="74"/>
      <c r="IX2175" s="74"/>
      <c r="IY2175" s="74"/>
      <c r="IZ2175" s="74"/>
      <c r="JA2175" s="74"/>
    </row>
    <row r="2176" spans="1:261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Q2176" s="74"/>
      <c r="R2176" s="74"/>
      <c r="S2176" s="74"/>
      <c r="T2176" s="74"/>
      <c r="U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  <c r="IW2176" s="74"/>
      <c r="IX2176" s="74"/>
      <c r="IY2176" s="74"/>
      <c r="IZ2176" s="74"/>
      <c r="JA2176" s="74"/>
    </row>
    <row r="2177" spans="1:261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Q2177" s="74"/>
      <c r="R2177" s="74"/>
      <c r="S2177" s="74"/>
      <c r="T2177" s="74"/>
      <c r="U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  <c r="IW2177" s="74"/>
      <c r="IX2177" s="74"/>
      <c r="IY2177" s="74"/>
      <c r="IZ2177" s="74"/>
      <c r="JA2177" s="74"/>
    </row>
    <row r="2178" spans="1:261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Q2178" s="74"/>
      <c r="R2178" s="74"/>
      <c r="S2178" s="74"/>
      <c r="T2178" s="74"/>
      <c r="U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  <c r="IW2178" s="74"/>
      <c r="IX2178" s="74"/>
      <c r="IY2178" s="74"/>
      <c r="IZ2178" s="74"/>
      <c r="JA2178" s="74"/>
    </row>
    <row r="2179" spans="1:261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Q2179" s="74"/>
      <c r="R2179" s="74"/>
      <c r="S2179" s="74"/>
      <c r="T2179" s="74"/>
      <c r="U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  <c r="IW2179" s="74"/>
      <c r="IX2179" s="74"/>
      <c r="IY2179" s="74"/>
      <c r="IZ2179" s="74"/>
      <c r="JA2179" s="74"/>
    </row>
    <row r="2180" spans="1:261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Q2180" s="74"/>
      <c r="R2180" s="74"/>
      <c r="S2180" s="74"/>
      <c r="T2180" s="74"/>
      <c r="U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  <c r="IW2180" s="74"/>
      <c r="IX2180" s="74"/>
      <c r="IY2180" s="74"/>
      <c r="IZ2180" s="74"/>
      <c r="JA2180" s="74"/>
    </row>
    <row r="2181" spans="1:261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Q2181" s="74"/>
      <c r="R2181" s="74"/>
      <c r="S2181" s="74"/>
      <c r="T2181" s="74"/>
      <c r="U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  <c r="IW2181" s="74"/>
      <c r="IX2181" s="74"/>
      <c r="IY2181" s="74"/>
      <c r="IZ2181" s="74"/>
      <c r="JA2181" s="74"/>
    </row>
    <row r="2182" spans="1:261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Q2182" s="74"/>
      <c r="R2182" s="74"/>
      <c r="S2182" s="74"/>
      <c r="T2182" s="74"/>
      <c r="U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  <c r="IW2182" s="74"/>
      <c r="IX2182" s="74"/>
      <c r="IY2182" s="74"/>
      <c r="IZ2182" s="74"/>
      <c r="JA2182" s="74"/>
    </row>
    <row r="2183" spans="1:261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Q2183" s="74"/>
      <c r="R2183" s="74"/>
      <c r="S2183" s="74"/>
      <c r="T2183" s="74"/>
      <c r="U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  <c r="IW2183" s="74"/>
      <c r="IX2183" s="74"/>
      <c r="IY2183" s="74"/>
      <c r="IZ2183" s="74"/>
      <c r="JA2183" s="74"/>
    </row>
    <row r="2184" spans="1:261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Q2184" s="74"/>
      <c r="R2184" s="74"/>
      <c r="S2184" s="74"/>
      <c r="T2184" s="74"/>
      <c r="U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  <c r="IW2184" s="74"/>
      <c r="IX2184" s="74"/>
      <c r="IY2184" s="74"/>
      <c r="IZ2184" s="74"/>
      <c r="JA2184" s="74"/>
    </row>
    <row r="2185" spans="1:261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Q2185" s="74"/>
      <c r="R2185" s="74"/>
      <c r="S2185" s="74"/>
      <c r="T2185" s="74"/>
      <c r="U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  <c r="IW2185" s="74"/>
      <c r="IX2185" s="74"/>
      <c r="IY2185" s="74"/>
      <c r="IZ2185" s="74"/>
      <c r="JA2185" s="74"/>
    </row>
    <row r="2186" spans="1:261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Q2186" s="74"/>
      <c r="R2186" s="74"/>
      <c r="S2186" s="74"/>
      <c r="T2186" s="74"/>
      <c r="U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  <c r="IW2186" s="74"/>
      <c r="IX2186" s="74"/>
      <c r="IY2186" s="74"/>
      <c r="IZ2186" s="74"/>
      <c r="JA2186" s="74"/>
    </row>
    <row r="2187" spans="1:261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Q2187" s="74"/>
      <c r="R2187" s="74"/>
      <c r="S2187" s="74"/>
      <c r="T2187" s="74"/>
      <c r="U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  <c r="IW2187" s="74"/>
      <c r="IX2187" s="74"/>
      <c r="IY2187" s="74"/>
      <c r="IZ2187" s="74"/>
      <c r="JA2187" s="74"/>
    </row>
    <row r="2188" spans="1:261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Q2188" s="74"/>
      <c r="R2188" s="74"/>
      <c r="S2188" s="74"/>
      <c r="T2188" s="74"/>
      <c r="U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  <c r="IW2188" s="74"/>
      <c r="IX2188" s="74"/>
      <c r="IY2188" s="74"/>
      <c r="IZ2188" s="74"/>
      <c r="JA2188" s="74"/>
    </row>
    <row r="2189" spans="1:261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Q2189" s="74"/>
      <c r="R2189" s="74"/>
      <c r="S2189" s="74"/>
      <c r="T2189" s="74"/>
      <c r="U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  <c r="IW2189" s="74"/>
      <c r="IX2189" s="74"/>
      <c r="IY2189" s="74"/>
      <c r="IZ2189" s="74"/>
      <c r="JA2189" s="74"/>
    </row>
    <row r="2190" spans="1:261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Q2190" s="74"/>
      <c r="R2190" s="74"/>
      <c r="S2190" s="74"/>
      <c r="T2190" s="74"/>
      <c r="U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  <c r="IW2190" s="74"/>
      <c r="IX2190" s="74"/>
      <c r="IY2190" s="74"/>
      <c r="IZ2190" s="74"/>
      <c r="JA2190" s="74"/>
    </row>
    <row r="2191" spans="1:261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Q2191" s="74"/>
      <c r="R2191" s="74"/>
      <c r="S2191" s="74"/>
      <c r="T2191" s="74"/>
      <c r="U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  <c r="IW2191" s="74"/>
      <c r="IX2191" s="74"/>
      <c r="IY2191" s="74"/>
      <c r="IZ2191" s="74"/>
      <c r="JA2191" s="74"/>
    </row>
    <row r="2192" spans="1:261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Q2192" s="74"/>
      <c r="R2192" s="74"/>
      <c r="S2192" s="74"/>
      <c r="T2192" s="74"/>
      <c r="U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  <c r="IW2192" s="74"/>
      <c r="IX2192" s="74"/>
      <c r="IY2192" s="74"/>
      <c r="IZ2192" s="74"/>
      <c r="JA2192" s="74"/>
    </row>
    <row r="2193" spans="1:261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Q2193" s="74"/>
      <c r="R2193" s="74"/>
      <c r="S2193" s="74"/>
      <c r="T2193" s="74"/>
      <c r="U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  <c r="IW2193" s="74"/>
      <c r="IX2193" s="74"/>
      <c r="IY2193" s="74"/>
      <c r="IZ2193" s="74"/>
      <c r="JA2193" s="74"/>
    </row>
    <row r="2194" spans="1:261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Q2194" s="74"/>
      <c r="R2194" s="74"/>
      <c r="S2194" s="74"/>
      <c r="T2194" s="74"/>
      <c r="U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  <c r="IW2194" s="74"/>
      <c r="IX2194" s="74"/>
      <c r="IY2194" s="74"/>
      <c r="IZ2194" s="74"/>
      <c r="JA2194" s="74"/>
    </row>
    <row r="2195" spans="1:261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Q2195" s="74"/>
      <c r="R2195" s="74"/>
      <c r="S2195" s="74"/>
      <c r="T2195" s="74"/>
      <c r="U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  <c r="IW2195" s="74"/>
      <c r="IX2195" s="74"/>
      <c r="IY2195" s="74"/>
      <c r="IZ2195" s="74"/>
      <c r="JA2195" s="74"/>
    </row>
    <row r="2196" spans="1:261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Q2196" s="74"/>
      <c r="R2196" s="74"/>
      <c r="S2196" s="74"/>
      <c r="T2196" s="74"/>
      <c r="U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  <c r="IW2196" s="74"/>
      <c r="IX2196" s="74"/>
      <c r="IY2196" s="74"/>
      <c r="IZ2196" s="74"/>
      <c r="JA2196" s="74"/>
    </row>
    <row r="2197" spans="1:261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Q2197" s="74"/>
      <c r="R2197" s="74"/>
      <c r="S2197" s="74"/>
      <c r="T2197" s="74"/>
      <c r="U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  <c r="IW2197" s="74"/>
      <c r="IX2197" s="74"/>
      <c r="IY2197" s="74"/>
      <c r="IZ2197" s="74"/>
      <c r="JA2197" s="74"/>
    </row>
    <row r="2198" spans="1:261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Q2198" s="74"/>
      <c r="R2198" s="74"/>
      <c r="S2198" s="74"/>
      <c r="T2198" s="74"/>
      <c r="U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  <c r="IW2198" s="74"/>
      <c r="IX2198" s="74"/>
      <c r="IY2198" s="74"/>
      <c r="IZ2198" s="74"/>
      <c r="JA2198" s="74"/>
    </row>
    <row r="2199" spans="1:261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Q2199" s="74"/>
      <c r="R2199" s="74"/>
      <c r="S2199" s="74"/>
      <c r="T2199" s="74"/>
      <c r="U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  <c r="IW2199" s="74"/>
      <c r="IX2199" s="74"/>
      <c r="IY2199" s="74"/>
      <c r="IZ2199" s="74"/>
      <c r="JA2199" s="74"/>
    </row>
    <row r="2200" spans="1:261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Q2200" s="74"/>
      <c r="R2200" s="74"/>
      <c r="S2200" s="74"/>
      <c r="T2200" s="74"/>
      <c r="U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  <c r="IW2200" s="74"/>
      <c r="IX2200" s="74"/>
      <c r="IY2200" s="74"/>
      <c r="IZ2200" s="74"/>
      <c r="JA2200" s="74"/>
    </row>
    <row r="2201" spans="1:261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Q2201" s="74"/>
      <c r="R2201" s="74"/>
      <c r="S2201" s="74"/>
      <c r="T2201" s="74"/>
      <c r="U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  <c r="IW2201" s="74"/>
      <c r="IX2201" s="74"/>
      <c r="IY2201" s="74"/>
      <c r="IZ2201" s="74"/>
      <c r="JA2201" s="74"/>
    </row>
    <row r="2202" spans="1:261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Q2202" s="74"/>
      <c r="R2202" s="74"/>
      <c r="S2202" s="74"/>
      <c r="T2202" s="74"/>
      <c r="U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  <c r="IW2202" s="74"/>
      <c r="IX2202" s="74"/>
      <c r="IY2202" s="74"/>
      <c r="IZ2202" s="74"/>
      <c r="JA2202" s="74"/>
    </row>
    <row r="2203" spans="1:261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Q2203" s="74"/>
      <c r="R2203" s="74"/>
      <c r="S2203" s="74"/>
      <c r="T2203" s="74"/>
      <c r="U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  <c r="IW2203" s="74"/>
      <c r="IX2203" s="74"/>
      <c r="IY2203" s="74"/>
      <c r="IZ2203" s="74"/>
      <c r="JA2203" s="74"/>
    </row>
    <row r="2204" spans="1:261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Q2204" s="74"/>
      <c r="R2204" s="74"/>
      <c r="S2204" s="74"/>
      <c r="T2204" s="74"/>
      <c r="U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  <c r="IW2204" s="74"/>
      <c r="IX2204" s="74"/>
      <c r="IY2204" s="74"/>
      <c r="IZ2204" s="74"/>
      <c r="JA2204" s="74"/>
    </row>
    <row r="2205" spans="1:261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Q2205" s="74"/>
      <c r="R2205" s="74"/>
      <c r="S2205" s="74"/>
      <c r="T2205" s="74"/>
      <c r="U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  <c r="IW2205" s="74"/>
      <c r="IX2205" s="74"/>
      <c r="IY2205" s="74"/>
      <c r="IZ2205" s="74"/>
      <c r="JA2205" s="74"/>
    </row>
    <row r="2206" spans="1:261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  <c r="U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  <c r="IW2206" s="74"/>
      <c r="IX2206" s="74"/>
      <c r="IY2206" s="74"/>
      <c r="IZ2206" s="74"/>
      <c r="JA2206" s="74"/>
    </row>
    <row r="2207" spans="1:261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  <c r="U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  <c r="IW2207" s="74"/>
      <c r="IX2207" s="74"/>
      <c r="IY2207" s="74"/>
      <c r="IZ2207" s="74"/>
      <c r="JA2207" s="74"/>
    </row>
    <row r="2208" spans="1:261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Q2208" s="74"/>
      <c r="R2208" s="74"/>
      <c r="S2208" s="74"/>
      <c r="T2208" s="74"/>
      <c r="U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  <c r="IW2208" s="74"/>
      <c r="IX2208" s="74"/>
      <c r="IY2208" s="74"/>
      <c r="IZ2208" s="74"/>
      <c r="JA2208" s="74"/>
    </row>
    <row r="2209" spans="1:261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Q2209" s="74"/>
      <c r="R2209" s="74"/>
      <c r="S2209" s="74"/>
      <c r="T2209" s="74"/>
      <c r="U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  <c r="IW2209" s="74"/>
      <c r="IX2209" s="74"/>
      <c r="IY2209" s="74"/>
      <c r="IZ2209" s="74"/>
      <c r="JA2209" s="74"/>
    </row>
    <row r="2210" spans="1:261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Q2210" s="74"/>
      <c r="R2210" s="74"/>
      <c r="S2210" s="74"/>
      <c r="T2210" s="74"/>
      <c r="U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  <c r="IW2210" s="74"/>
      <c r="IX2210" s="74"/>
      <c r="IY2210" s="74"/>
      <c r="IZ2210" s="74"/>
      <c r="JA2210" s="74"/>
    </row>
    <row r="2211" spans="1:261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Q2211" s="74"/>
      <c r="R2211" s="74"/>
      <c r="S2211" s="74"/>
      <c r="T2211" s="74"/>
      <c r="U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  <c r="IW2211" s="74"/>
      <c r="IX2211" s="74"/>
      <c r="IY2211" s="74"/>
      <c r="IZ2211" s="74"/>
      <c r="JA2211" s="74"/>
    </row>
    <row r="2212" spans="1:261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Q2212" s="74"/>
      <c r="R2212" s="74"/>
      <c r="S2212" s="74"/>
      <c r="T2212" s="74"/>
      <c r="U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  <c r="IW2212" s="74"/>
      <c r="IX2212" s="74"/>
      <c r="IY2212" s="74"/>
      <c r="IZ2212" s="74"/>
      <c r="JA2212" s="74"/>
    </row>
    <row r="2213" spans="1:261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Q2213" s="74"/>
      <c r="R2213" s="74"/>
      <c r="S2213" s="74"/>
      <c r="T2213" s="74"/>
      <c r="U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  <c r="IW2213" s="74"/>
      <c r="IX2213" s="74"/>
      <c r="IY2213" s="74"/>
      <c r="IZ2213" s="74"/>
      <c r="JA2213" s="74"/>
    </row>
    <row r="2214" spans="1:261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Q2214" s="74"/>
      <c r="R2214" s="74"/>
      <c r="S2214" s="74"/>
      <c r="T2214" s="74"/>
      <c r="U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  <c r="IW2214" s="74"/>
      <c r="IX2214" s="74"/>
      <c r="IY2214" s="74"/>
      <c r="IZ2214" s="74"/>
      <c r="JA2214" s="74"/>
    </row>
    <row r="2215" spans="1:261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Q2215" s="74"/>
      <c r="R2215" s="74"/>
      <c r="S2215" s="74"/>
      <c r="T2215" s="74"/>
      <c r="U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  <c r="IW2215" s="74"/>
      <c r="IX2215" s="74"/>
      <c r="IY2215" s="74"/>
      <c r="IZ2215" s="74"/>
      <c r="JA2215" s="74"/>
    </row>
    <row r="2216" spans="1:261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Q2216" s="74"/>
      <c r="R2216" s="74"/>
      <c r="S2216" s="74"/>
      <c r="T2216" s="74"/>
      <c r="U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  <c r="IW2216" s="74"/>
      <c r="IX2216" s="74"/>
      <c r="IY2216" s="74"/>
      <c r="IZ2216" s="74"/>
      <c r="JA2216" s="74"/>
    </row>
    <row r="2217" spans="1:261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Q2217" s="74"/>
      <c r="R2217" s="74"/>
      <c r="S2217" s="74"/>
      <c r="T2217" s="74"/>
      <c r="U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  <c r="IW2217" s="74"/>
      <c r="IX2217" s="74"/>
      <c r="IY2217" s="74"/>
      <c r="IZ2217" s="74"/>
      <c r="JA2217" s="74"/>
    </row>
    <row r="2218" spans="1:261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Q2218" s="74"/>
      <c r="R2218" s="74"/>
      <c r="S2218" s="74"/>
      <c r="T2218" s="74"/>
      <c r="U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  <c r="IW2218" s="74"/>
      <c r="IX2218" s="74"/>
      <c r="IY2218" s="74"/>
      <c r="IZ2218" s="74"/>
      <c r="JA2218" s="74"/>
    </row>
    <row r="2219" spans="1:261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Q2219" s="74"/>
      <c r="R2219" s="74"/>
      <c r="S2219" s="74"/>
      <c r="T2219" s="74"/>
      <c r="U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  <c r="IW2219" s="74"/>
      <c r="IX2219" s="74"/>
      <c r="IY2219" s="74"/>
      <c r="IZ2219" s="74"/>
      <c r="JA2219" s="74"/>
    </row>
    <row r="2220" spans="1:261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Q2220" s="74"/>
      <c r="R2220" s="74"/>
      <c r="S2220" s="74"/>
      <c r="T2220" s="74"/>
      <c r="U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  <c r="IW2220" s="74"/>
      <c r="IX2220" s="74"/>
      <c r="IY2220" s="74"/>
      <c r="IZ2220" s="74"/>
      <c r="JA2220" s="74"/>
    </row>
    <row r="2221" spans="1:261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Q2221" s="74"/>
      <c r="R2221" s="74"/>
      <c r="S2221" s="74"/>
      <c r="T2221" s="74"/>
      <c r="U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  <c r="IW2221" s="74"/>
      <c r="IX2221" s="74"/>
      <c r="IY2221" s="74"/>
      <c r="IZ2221" s="74"/>
      <c r="JA2221" s="74"/>
    </row>
    <row r="2222" spans="1:261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Q2222" s="74"/>
      <c r="R2222" s="74"/>
      <c r="S2222" s="74"/>
      <c r="T2222" s="74"/>
      <c r="U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  <c r="IW2222" s="74"/>
      <c r="IX2222" s="74"/>
      <c r="IY2222" s="74"/>
      <c r="IZ2222" s="74"/>
      <c r="JA2222" s="74"/>
    </row>
    <row r="2223" spans="1:261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Q2223" s="74"/>
      <c r="R2223" s="74"/>
      <c r="S2223" s="74"/>
      <c r="T2223" s="74"/>
      <c r="U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  <c r="IW2223" s="74"/>
      <c r="IX2223" s="74"/>
      <c r="IY2223" s="74"/>
      <c r="IZ2223" s="74"/>
      <c r="JA2223" s="74"/>
    </row>
    <row r="2224" spans="1:261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Q2224" s="74"/>
      <c r="R2224" s="74"/>
      <c r="S2224" s="74"/>
      <c r="T2224" s="74"/>
      <c r="U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  <c r="IW2224" s="74"/>
      <c r="IX2224" s="74"/>
      <c r="IY2224" s="74"/>
      <c r="IZ2224" s="74"/>
      <c r="JA2224" s="74"/>
    </row>
    <row r="2225" spans="1:261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Q2225" s="74"/>
      <c r="R2225" s="74"/>
      <c r="S2225" s="74"/>
      <c r="T2225" s="74"/>
      <c r="U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  <c r="IW2225" s="74"/>
      <c r="IX2225" s="74"/>
      <c r="IY2225" s="74"/>
      <c r="IZ2225" s="74"/>
      <c r="JA2225" s="74"/>
    </row>
    <row r="2226" spans="1:261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Q2226" s="74"/>
      <c r="R2226" s="74"/>
      <c r="S2226" s="74"/>
      <c r="T2226" s="74"/>
      <c r="U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  <c r="IW2226" s="74"/>
      <c r="IX2226" s="74"/>
      <c r="IY2226" s="74"/>
      <c r="IZ2226" s="74"/>
      <c r="JA2226" s="74"/>
    </row>
    <row r="2227" spans="1:261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Q2227" s="74"/>
      <c r="R2227" s="74"/>
      <c r="S2227" s="74"/>
      <c r="T2227" s="74"/>
      <c r="U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  <c r="IW2227" s="74"/>
      <c r="IX2227" s="74"/>
      <c r="IY2227" s="74"/>
      <c r="IZ2227" s="74"/>
      <c r="JA2227" s="74"/>
    </row>
    <row r="2228" spans="1:261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Q2228" s="74"/>
      <c r="R2228" s="74"/>
      <c r="S2228" s="74"/>
      <c r="T2228" s="74"/>
      <c r="U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  <c r="IW2228" s="74"/>
      <c r="IX2228" s="74"/>
      <c r="IY2228" s="74"/>
      <c r="IZ2228" s="74"/>
      <c r="JA2228" s="74"/>
    </row>
    <row r="2229" spans="1:261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Q2229" s="74"/>
      <c r="R2229" s="74"/>
      <c r="S2229" s="74"/>
      <c r="T2229" s="74"/>
      <c r="U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  <c r="IW2229" s="74"/>
      <c r="IX2229" s="74"/>
      <c r="IY2229" s="74"/>
      <c r="IZ2229" s="74"/>
      <c r="JA2229" s="74"/>
    </row>
    <row r="2230" spans="1:261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Q2230" s="74"/>
      <c r="R2230" s="74"/>
      <c r="S2230" s="74"/>
      <c r="T2230" s="74"/>
      <c r="U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  <c r="IW2230" s="74"/>
      <c r="IX2230" s="74"/>
      <c r="IY2230" s="74"/>
      <c r="IZ2230" s="74"/>
      <c r="JA2230" s="74"/>
    </row>
    <row r="2231" spans="1:261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Q2231" s="74"/>
      <c r="R2231" s="74"/>
      <c r="S2231" s="74"/>
      <c r="T2231" s="74"/>
      <c r="U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  <c r="IW2231" s="74"/>
      <c r="IX2231" s="74"/>
      <c r="IY2231" s="74"/>
      <c r="IZ2231" s="74"/>
      <c r="JA2231" s="74"/>
    </row>
    <row r="2232" spans="1:261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Q2232" s="74"/>
      <c r="R2232" s="74"/>
      <c r="S2232" s="74"/>
      <c r="T2232" s="74"/>
      <c r="U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  <c r="IW2232" s="74"/>
      <c r="IX2232" s="74"/>
      <c r="IY2232" s="74"/>
      <c r="IZ2232" s="74"/>
      <c r="JA2232" s="74"/>
    </row>
    <row r="2233" spans="1:261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Q2233" s="74"/>
      <c r="R2233" s="74"/>
      <c r="S2233" s="74"/>
      <c r="T2233" s="74"/>
      <c r="U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  <c r="IW2233" s="74"/>
      <c r="IX2233" s="74"/>
      <c r="IY2233" s="74"/>
      <c r="IZ2233" s="74"/>
      <c r="JA2233" s="74"/>
    </row>
    <row r="2234" spans="1:261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Q2234" s="74"/>
      <c r="R2234" s="74"/>
      <c r="S2234" s="74"/>
      <c r="T2234" s="74"/>
      <c r="U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  <c r="IW2234" s="74"/>
      <c r="IX2234" s="74"/>
      <c r="IY2234" s="74"/>
      <c r="IZ2234" s="74"/>
      <c r="JA2234" s="74"/>
    </row>
    <row r="2235" spans="1:261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Q2235" s="74"/>
      <c r="R2235" s="74"/>
      <c r="S2235" s="74"/>
      <c r="T2235" s="74"/>
      <c r="U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  <c r="IW2235" s="74"/>
      <c r="IX2235" s="74"/>
      <c r="IY2235" s="74"/>
      <c r="IZ2235" s="74"/>
      <c r="JA2235" s="74"/>
    </row>
    <row r="2236" spans="1:261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Q2236" s="74"/>
      <c r="R2236" s="74"/>
      <c r="S2236" s="74"/>
      <c r="T2236" s="74"/>
      <c r="U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  <c r="IW2236" s="74"/>
      <c r="IX2236" s="74"/>
      <c r="IY2236" s="74"/>
      <c r="IZ2236" s="74"/>
      <c r="JA2236" s="74"/>
    </row>
    <row r="2237" spans="1:261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Q2237" s="74"/>
      <c r="R2237" s="74"/>
      <c r="S2237" s="74"/>
      <c r="T2237" s="74"/>
      <c r="U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  <c r="IW2237" s="74"/>
      <c r="IX2237" s="74"/>
      <c r="IY2237" s="74"/>
      <c r="IZ2237" s="74"/>
      <c r="JA2237" s="74"/>
    </row>
    <row r="2238" spans="1:261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Q2238" s="74"/>
      <c r="R2238" s="74"/>
      <c r="S2238" s="74"/>
      <c r="T2238" s="74"/>
      <c r="U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  <c r="IW2238" s="74"/>
      <c r="IX2238" s="74"/>
      <c r="IY2238" s="74"/>
      <c r="IZ2238" s="74"/>
      <c r="JA2238" s="74"/>
    </row>
    <row r="2239" spans="1:261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Q2239" s="74"/>
      <c r="R2239" s="74"/>
      <c r="S2239" s="74"/>
      <c r="T2239" s="74"/>
      <c r="U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  <c r="IW2239" s="74"/>
      <c r="IX2239" s="74"/>
      <c r="IY2239" s="74"/>
      <c r="IZ2239" s="74"/>
      <c r="JA2239" s="74"/>
    </row>
    <row r="2240" spans="1:261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Q2240" s="74"/>
      <c r="R2240" s="74"/>
      <c r="S2240" s="74"/>
      <c r="T2240" s="74"/>
      <c r="U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  <c r="IW2240" s="74"/>
      <c r="IX2240" s="74"/>
      <c r="IY2240" s="74"/>
      <c r="IZ2240" s="74"/>
      <c r="JA2240" s="74"/>
    </row>
    <row r="2241" spans="1:261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Q2241" s="74"/>
      <c r="R2241" s="74"/>
      <c r="S2241" s="74"/>
      <c r="T2241" s="74"/>
      <c r="U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  <c r="IW2241" s="74"/>
      <c r="IX2241" s="74"/>
      <c r="IY2241" s="74"/>
      <c r="IZ2241" s="74"/>
      <c r="JA2241" s="74"/>
    </row>
    <row r="2242" spans="1:261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Q2242" s="74"/>
      <c r="R2242" s="74"/>
      <c r="S2242" s="74"/>
      <c r="T2242" s="74"/>
      <c r="U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  <c r="IW2242" s="74"/>
      <c r="IX2242" s="74"/>
      <c r="IY2242" s="74"/>
      <c r="IZ2242" s="74"/>
      <c r="JA2242" s="74"/>
    </row>
    <row r="2243" spans="1:261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Q2243" s="74"/>
      <c r="R2243" s="74"/>
      <c r="S2243" s="74"/>
      <c r="T2243" s="74"/>
      <c r="U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  <c r="IW2243" s="74"/>
      <c r="IX2243" s="74"/>
      <c r="IY2243" s="74"/>
      <c r="IZ2243" s="74"/>
      <c r="JA2243" s="74"/>
    </row>
    <row r="2244" spans="1:261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Q2244" s="74"/>
      <c r="R2244" s="74"/>
      <c r="S2244" s="74"/>
      <c r="T2244" s="74"/>
      <c r="U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  <c r="IW2244" s="74"/>
      <c r="IX2244" s="74"/>
      <c r="IY2244" s="74"/>
      <c r="IZ2244" s="74"/>
      <c r="JA2244" s="74"/>
    </row>
    <row r="2245" spans="1:261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Q2245" s="74"/>
      <c r="R2245" s="74"/>
      <c r="S2245" s="74"/>
      <c r="T2245" s="74"/>
      <c r="U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  <c r="IW2245" s="74"/>
      <c r="IX2245" s="74"/>
      <c r="IY2245" s="74"/>
      <c r="IZ2245" s="74"/>
      <c r="JA2245" s="74"/>
    </row>
    <row r="2246" spans="1:261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Q2246" s="74"/>
      <c r="R2246" s="74"/>
      <c r="S2246" s="74"/>
      <c r="T2246" s="74"/>
      <c r="U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  <c r="IW2246" s="74"/>
      <c r="IX2246" s="74"/>
      <c r="IY2246" s="74"/>
      <c r="IZ2246" s="74"/>
      <c r="JA2246" s="74"/>
    </row>
    <row r="2247" spans="1:261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Q2247" s="74"/>
      <c r="R2247" s="74"/>
      <c r="S2247" s="74"/>
      <c r="T2247" s="74"/>
      <c r="U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  <c r="IW2247" s="74"/>
      <c r="IX2247" s="74"/>
      <c r="IY2247" s="74"/>
      <c r="IZ2247" s="74"/>
      <c r="JA2247" s="74"/>
    </row>
    <row r="2248" spans="1:261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Q2248" s="74"/>
      <c r="R2248" s="74"/>
      <c r="S2248" s="74"/>
      <c r="T2248" s="74"/>
      <c r="U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  <c r="IW2248" s="74"/>
      <c r="IX2248" s="74"/>
      <c r="IY2248" s="74"/>
      <c r="IZ2248" s="74"/>
      <c r="JA2248" s="74"/>
    </row>
    <row r="2249" spans="1:261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Q2249" s="74"/>
      <c r="R2249" s="74"/>
      <c r="S2249" s="74"/>
      <c r="T2249" s="74"/>
      <c r="U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  <c r="IW2249" s="74"/>
      <c r="IX2249" s="74"/>
      <c r="IY2249" s="74"/>
      <c r="IZ2249" s="74"/>
      <c r="JA2249" s="74"/>
    </row>
    <row r="2250" spans="1:261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Q2250" s="74"/>
      <c r="R2250" s="74"/>
      <c r="S2250" s="74"/>
      <c r="T2250" s="74"/>
      <c r="U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  <c r="IW2250" s="74"/>
      <c r="IX2250" s="74"/>
      <c r="IY2250" s="74"/>
      <c r="IZ2250" s="74"/>
      <c r="JA2250" s="74"/>
    </row>
    <row r="2251" spans="1:261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Q2251" s="74"/>
      <c r="R2251" s="74"/>
      <c r="S2251" s="74"/>
      <c r="T2251" s="74"/>
      <c r="U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  <c r="IW2251" s="74"/>
      <c r="IX2251" s="74"/>
      <c r="IY2251" s="74"/>
      <c r="IZ2251" s="74"/>
      <c r="JA2251" s="74"/>
    </row>
    <row r="2252" spans="1:261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Q2252" s="74"/>
      <c r="R2252" s="74"/>
      <c r="S2252" s="74"/>
      <c r="T2252" s="74"/>
      <c r="U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  <c r="IW2252" s="74"/>
      <c r="IX2252" s="74"/>
      <c r="IY2252" s="74"/>
      <c r="IZ2252" s="74"/>
      <c r="JA2252" s="74"/>
    </row>
    <row r="2253" spans="1:261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Q2253" s="74"/>
      <c r="R2253" s="74"/>
      <c r="S2253" s="74"/>
      <c r="T2253" s="74"/>
      <c r="U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  <c r="IW2253" s="74"/>
      <c r="IX2253" s="74"/>
      <c r="IY2253" s="74"/>
      <c r="IZ2253" s="74"/>
      <c r="JA2253" s="74"/>
    </row>
    <row r="2254" spans="1:261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Q2254" s="74"/>
      <c r="R2254" s="74"/>
      <c r="S2254" s="74"/>
      <c r="T2254" s="74"/>
      <c r="U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  <c r="IW2254" s="74"/>
      <c r="IX2254" s="74"/>
      <c r="IY2254" s="74"/>
      <c r="IZ2254" s="74"/>
      <c r="JA2254" s="74"/>
    </row>
    <row r="2255" spans="1:261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Q2255" s="74"/>
      <c r="R2255" s="74"/>
      <c r="S2255" s="74"/>
      <c r="T2255" s="74"/>
      <c r="U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  <c r="IW2255" s="74"/>
      <c r="IX2255" s="74"/>
      <c r="IY2255" s="74"/>
      <c r="IZ2255" s="74"/>
      <c r="JA2255" s="74"/>
    </row>
    <row r="2256" spans="1:261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Q2256" s="74"/>
      <c r="R2256" s="74"/>
      <c r="S2256" s="74"/>
      <c r="T2256" s="74"/>
      <c r="U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  <c r="IW2256" s="74"/>
      <c r="IX2256" s="74"/>
      <c r="IY2256" s="74"/>
      <c r="IZ2256" s="74"/>
      <c r="JA2256" s="74"/>
    </row>
    <row r="2257" spans="1:261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Q2257" s="74"/>
      <c r="R2257" s="74"/>
      <c r="S2257" s="74"/>
      <c r="T2257" s="74"/>
      <c r="U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  <c r="IW2257" s="74"/>
      <c r="IX2257" s="74"/>
      <c r="IY2257" s="74"/>
      <c r="IZ2257" s="74"/>
      <c r="JA2257" s="74"/>
    </row>
    <row r="2258" spans="1:261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Q2258" s="74"/>
      <c r="R2258" s="74"/>
      <c r="S2258" s="74"/>
      <c r="T2258" s="74"/>
      <c r="U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  <c r="IW2258" s="74"/>
      <c r="IX2258" s="74"/>
      <c r="IY2258" s="74"/>
      <c r="IZ2258" s="74"/>
      <c r="JA2258" s="74"/>
    </row>
    <row r="2259" spans="1:261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Q2259" s="74"/>
      <c r="R2259" s="74"/>
      <c r="S2259" s="74"/>
      <c r="T2259" s="74"/>
      <c r="U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  <c r="IW2259" s="74"/>
      <c r="IX2259" s="74"/>
      <c r="IY2259" s="74"/>
      <c r="IZ2259" s="74"/>
      <c r="JA2259" s="74"/>
    </row>
    <row r="2260" spans="1:261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Q2260" s="74"/>
      <c r="R2260" s="74"/>
      <c r="S2260" s="74"/>
      <c r="T2260" s="74"/>
      <c r="U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  <c r="IW2260" s="74"/>
      <c r="IX2260" s="74"/>
      <c r="IY2260" s="74"/>
      <c r="IZ2260" s="74"/>
      <c r="JA2260" s="74"/>
    </row>
    <row r="2261" spans="1:261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Q2261" s="74"/>
      <c r="R2261" s="74"/>
      <c r="S2261" s="74"/>
      <c r="T2261" s="74"/>
      <c r="U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  <c r="IW2261" s="74"/>
      <c r="IX2261" s="74"/>
      <c r="IY2261" s="74"/>
      <c r="IZ2261" s="74"/>
      <c r="JA2261" s="74"/>
    </row>
    <row r="2262" spans="1:261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Q2262" s="74"/>
      <c r="R2262" s="74"/>
      <c r="S2262" s="74"/>
      <c r="T2262" s="74"/>
      <c r="U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  <c r="IW2262" s="74"/>
      <c r="IX2262" s="74"/>
      <c r="IY2262" s="74"/>
      <c r="IZ2262" s="74"/>
      <c r="JA2262" s="74"/>
    </row>
    <row r="2263" spans="1:261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Q2263" s="74"/>
      <c r="R2263" s="74"/>
      <c r="S2263" s="74"/>
      <c r="T2263" s="74"/>
      <c r="U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  <c r="IW2263" s="74"/>
      <c r="IX2263" s="74"/>
      <c r="IY2263" s="74"/>
      <c r="IZ2263" s="74"/>
      <c r="JA2263" s="74"/>
    </row>
    <row r="2264" spans="1:261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Q2264" s="74"/>
      <c r="R2264" s="74"/>
      <c r="S2264" s="74"/>
      <c r="T2264" s="74"/>
      <c r="U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  <c r="IW2264" s="74"/>
      <c r="IX2264" s="74"/>
      <c r="IY2264" s="74"/>
      <c r="IZ2264" s="74"/>
      <c r="JA2264" s="74"/>
    </row>
    <row r="2265" spans="1:261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Q2265" s="74"/>
      <c r="R2265" s="74"/>
      <c r="S2265" s="74"/>
      <c r="T2265" s="74"/>
      <c r="U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  <c r="IW2265" s="74"/>
      <c r="IX2265" s="74"/>
      <c r="IY2265" s="74"/>
      <c r="IZ2265" s="74"/>
      <c r="JA2265" s="74"/>
    </row>
    <row r="2266" spans="1:261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Q2266" s="74"/>
      <c r="R2266" s="74"/>
      <c r="S2266" s="74"/>
      <c r="T2266" s="74"/>
      <c r="U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  <c r="IW2266" s="74"/>
      <c r="IX2266" s="74"/>
      <c r="IY2266" s="74"/>
      <c r="IZ2266" s="74"/>
      <c r="JA2266" s="74"/>
    </row>
    <row r="2267" spans="1:261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Q2267" s="74"/>
      <c r="R2267" s="74"/>
      <c r="S2267" s="74"/>
      <c r="T2267" s="74"/>
      <c r="U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  <c r="IW2267" s="74"/>
      <c r="IX2267" s="74"/>
      <c r="IY2267" s="74"/>
      <c r="IZ2267" s="74"/>
      <c r="JA2267" s="74"/>
    </row>
    <row r="2268" spans="1:261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Q2268" s="74"/>
      <c r="R2268" s="74"/>
      <c r="S2268" s="74"/>
      <c r="T2268" s="74"/>
      <c r="U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  <c r="IW2268" s="74"/>
      <c r="IX2268" s="74"/>
      <c r="IY2268" s="74"/>
      <c r="IZ2268" s="74"/>
      <c r="JA2268" s="74"/>
    </row>
    <row r="2269" spans="1:261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Q2269" s="74"/>
      <c r="R2269" s="74"/>
      <c r="S2269" s="74"/>
      <c r="T2269" s="74"/>
      <c r="U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  <c r="IW2269" s="74"/>
      <c r="IX2269" s="74"/>
      <c r="IY2269" s="74"/>
      <c r="IZ2269" s="74"/>
      <c r="JA2269" s="74"/>
    </row>
    <row r="2270" spans="1:261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Q2270" s="74"/>
      <c r="R2270" s="74"/>
      <c r="S2270" s="74"/>
      <c r="T2270" s="74"/>
      <c r="U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  <c r="IW2270" s="74"/>
      <c r="IX2270" s="74"/>
      <c r="IY2270" s="74"/>
      <c r="IZ2270" s="74"/>
      <c r="JA2270" s="74"/>
    </row>
    <row r="2271" spans="1:261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Q2271" s="74"/>
      <c r="R2271" s="74"/>
      <c r="S2271" s="74"/>
      <c r="T2271" s="74"/>
      <c r="U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  <c r="IW2271" s="74"/>
      <c r="IX2271" s="74"/>
      <c r="IY2271" s="74"/>
      <c r="IZ2271" s="74"/>
      <c r="JA2271" s="74"/>
    </row>
    <row r="2272" spans="1:261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Q2272" s="74"/>
      <c r="R2272" s="74"/>
      <c r="S2272" s="74"/>
      <c r="T2272" s="74"/>
      <c r="U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  <c r="IW2272" s="74"/>
      <c r="IX2272" s="74"/>
      <c r="IY2272" s="74"/>
      <c r="IZ2272" s="74"/>
      <c r="JA2272" s="74"/>
    </row>
    <row r="2273" spans="1:261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Q2273" s="74"/>
      <c r="R2273" s="74"/>
      <c r="S2273" s="74"/>
      <c r="T2273" s="74"/>
      <c r="U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  <c r="IW2273" s="74"/>
      <c r="IX2273" s="74"/>
      <c r="IY2273" s="74"/>
      <c r="IZ2273" s="74"/>
      <c r="JA2273" s="74"/>
    </row>
    <row r="2274" spans="1:261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Q2274" s="74"/>
      <c r="R2274" s="74"/>
      <c r="S2274" s="74"/>
      <c r="T2274" s="74"/>
      <c r="U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  <c r="IW2274" s="74"/>
      <c r="IX2274" s="74"/>
      <c r="IY2274" s="74"/>
      <c r="IZ2274" s="74"/>
      <c r="JA2274" s="74"/>
    </row>
    <row r="2275" spans="1:261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Q2275" s="74"/>
      <c r="R2275" s="74"/>
      <c r="S2275" s="74"/>
      <c r="T2275" s="74"/>
      <c r="U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  <c r="IW2275" s="74"/>
      <c r="IX2275" s="74"/>
      <c r="IY2275" s="74"/>
      <c r="IZ2275" s="74"/>
      <c r="JA2275" s="74"/>
    </row>
    <row r="2276" spans="1:261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Q2276" s="74"/>
      <c r="R2276" s="74"/>
      <c r="S2276" s="74"/>
      <c r="T2276" s="74"/>
      <c r="U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  <c r="IW2276" s="74"/>
      <c r="IX2276" s="74"/>
      <c r="IY2276" s="74"/>
      <c r="IZ2276" s="74"/>
      <c r="JA2276" s="74"/>
    </row>
    <row r="2277" spans="1:261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Q2277" s="74"/>
      <c r="R2277" s="74"/>
      <c r="S2277" s="74"/>
      <c r="T2277" s="74"/>
      <c r="U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  <c r="IW2277" s="74"/>
      <c r="IX2277" s="74"/>
      <c r="IY2277" s="74"/>
      <c r="IZ2277" s="74"/>
      <c r="JA2277" s="74"/>
    </row>
    <row r="2278" spans="1:261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Q2278" s="74"/>
      <c r="R2278" s="74"/>
      <c r="S2278" s="74"/>
      <c r="T2278" s="74"/>
      <c r="U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  <c r="IW2278" s="74"/>
      <c r="IX2278" s="74"/>
      <c r="IY2278" s="74"/>
      <c r="IZ2278" s="74"/>
      <c r="JA2278" s="74"/>
    </row>
    <row r="2279" spans="1:261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Q2279" s="74"/>
      <c r="R2279" s="74"/>
      <c r="S2279" s="74"/>
      <c r="T2279" s="74"/>
      <c r="U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  <c r="IW2279" s="74"/>
      <c r="IX2279" s="74"/>
      <c r="IY2279" s="74"/>
      <c r="IZ2279" s="74"/>
      <c r="JA2279" s="74"/>
    </row>
    <row r="2280" spans="1:261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Q2280" s="74"/>
      <c r="R2280" s="74"/>
      <c r="S2280" s="74"/>
      <c r="T2280" s="74"/>
      <c r="U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  <c r="IW2280" s="74"/>
      <c r="IX2280" s="74"/>
      <c r="IY2280" s="74"/>
      <c r="IZ2280" s="74"/>
      <c r="JA2280" s="74"/>
    </row>
    <row r="2281" spans="1:261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Q2281" s="74"/>
      <c r="R2281" s="74"/>
      <c r="S2281" s="74"/>
      <c r="T2281" s="74"/>
      <c r="U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  <c r="IW2281" s="74"/>
      <c r="IX2281" s="74"/>
      <c r="IY2281" s="74"/>
      <c r="IZ2281" s="74"/>
      <c r="JA2281" s="74"/>
    </row>
    <row r="2282" spans="1:261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Q2282" s="74"/>
      <c r="R2282" s="74"/>
      <c r="S2282" s="74"/>
      <c r="T2282" s="74"/>
      <c r="U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  <c r="IW2282" s="74"/>
      <c r="IX2282" s="74"/>
      <c r="IY2282" s="74"/>
      <c r="IZ2282" s="74"/>
      <c r="JA2282" s="74"/>
    </row>
    <row r="2283" spans="1:261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Q2283" s="74"/>
      <c r="R2283" s="74"/>
      <c r="S2283" s="74"/>
      <c r="T2283" s="74"/>
      <c r="U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  <c r="IW2283" s="74"/>
      <c r="IX2283" s="74"/>
      <c r="IY2283" s="74"/>
      <c r="IZ2283" s="74"/>
      <c r="JA2283" s="74"/>
    </row>
    <row r="2284" spans="1:261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Q2284" s="74"/>
      <c r="R2284" s="74"/>
      <c r="S2284" s="74"/>
      <c r="T2284" s="74"/>
      <c r="U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  <c r="IW2284" s="74"/>
      <c r="IX2284" s="74"/>
      <c r="IY2284" s="74"/>
      <c r="IZ2284" s="74"/>
      <c r="JA2284" s="74"/>
    </row>
    <row r="2285" spans="1:261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Q2285" s="74"/>
      <c r="R2285" s="74"/>
      <c r="S2285" s="74"/>
      <c r="T2285" s="74"/>
      <c r="U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  <c r="IW2285" s="74"/>
      <c r="IX2285" s="74"/>
      <c r="IY2285" s="74"/>
      <c r="IZ2285" s="74"/>
      <c r="JA2285" s="74"/>
    </row>
    <row r="2286" spans="1:261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Q2286" s="74"/>
      <c r="R2286" s="74"/>
      <c r="S2286" s="74"/>
      <c r="T2286" s="74"/>
      <c r="U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  <c r="IW2286" s="74"/>
      <c r="IX2286" s="74"/>
      <c r="IY2286" s="74"/>
      <c r="IZ2286" s="74"/>
      <c r="JA2286" s="74"/>
    </row>
    <row r="2287" spans="1:261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Q2287" s="74"/>
      <c r="R2287" s="74"/>
      <c r="S2287" s="74"/>
      <c r="T2287" s="74"/>
      <c r="U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  <c r="IW2287" s="74"/>
      <c r="IX2287" s="74"/>
      <c r="IY2287" s="74"/>
      <c r="IZ2287" s="74"/>
      <c r="JA2287" s="74"/>
    </row>
    <row r="2288" spans="1:261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Q2288" s="74"/>
      <c r="R2288" s="74"/>
      <c r="S2288" s="74"/>
      <c r="T2288" s="74"/>
      <c r="U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  <c r="IW2288" s="74"/>
      <c r="IX2288" s="74"/>
      <c r="IY2288" s="74"/>
      <c r="IZ2288" s="74"/>
      <c r="JA2288" s="74"/>
    </row>
    <row r="2289" spans="1:261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Q2289" s="74"/>
      <c r="R2289" s="74"/>
      <c r="S2289" s="74"/>
      <c r="T2289" s="74"/>
      <c r="U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  <c r="IW2289" s="74"/>
      <c r="IX2289" s="74"/>
      <c r="IY2289" s="74"/>
      <c r="IZ2289" s="74"/>
      <c r="JA2289" s="74"/>
    </row>
    <row r="2290" spans="1:261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Q2290" s="74"/>
      <c r="R2290" s="74"/>
      <c r="S2290" s="74"/>
      <c r="T2290" s="74"/>
      <c r="U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  <c r="IW2290" s="74"/>
      <c r="IX2290" s="74"/>
      <c r="IY2290" s="74"/>
      <c r="IZ2290" s="74"/>
      <c r="JA2290" s="74"/>
    </row>
    <row r="2291" spans="1:261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Q2291" s="74"/>
      <c r="R2291" s="74"/>
      <c r="S2291" s="74"/>
      <c r="T2291" s="74"/>
      <c r="U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  <c r="IW2291" s="74"/>
      <c r="IX2291" s="74"/>
      <c r="IY2291" s="74"/>
      <c r="IZ2291" s="74"/>
      <c r="JA2291" s="74"/>
    </row>
    <row r="2292" spans="1:261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Q2292" s="74"/>
      <c r="R2292" s="74"/>
      <c r="S2292" s="74"/>
      <c r="T2292" s="74"/>
      <c r="U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  <c r="IW2292" s="74"/>
      <c r="IX2292" s="74"/>
      <c r="IY2292" s="74"/>
      <c r="IZ2292" s="74"/>
      <c r="JA2292" s="74"/>
    </row>
    <row r="2293" spans="1:261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Q2293" s="74"/>
      <c r="R2293" s="74"/>
      <c r="S2293" s="74"/>
      <c r="T2293" s="74"/>
      <c r="U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  <c r="IW2293" s="74"/>
      <c r="IX2293" s="74"/>
      <c r="IY2293" s="74"/>
      <c r="IZ2293" s="74"/>
      <c r="JA2293" s="74"/>
    </row>
    <row r="2294" spans="1:261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Q2294" s="74"/>
      <c r="R2294" s="74"/>
      <c r="S2294" s="74"/>
      <c r="T2294" s="74"/>
      <c r="U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  <c r="IW2294" s="74"/>
      <c r="IX2294" s="74"/>
      <c r="IY2294" s="74"/>
      <c r="IZ2294" s="74"/>
      <c r="JA2294" s="74"/>
    </row>
    <row r="2295" spans="1:261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Q2295" s="74"/>
      <c r="R2295" s="74"/>
      <c r="S2295" s="74"/>
      <c r="T2295" s="74"/>
      <c r="U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  <c r="IW2295" s="74"/>
      <c r="IX2295" s="74"/>
      <c r="IY2295" s="74"/>
      <c r="IZ2295" s="74"/>
      <c r="JA2295" s="74"/>
    </row>
    <row r="2296" spans="1:261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Q2296" s="74"/>
      <c r="R2296" s="74"/>
      <c r="S2296" s="74"/>
      <c r="T2296" s="74"/>
      <c r="U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  <c r="IW2296" s="74"/>
      <c r="IX2296" s="74"/>
      <c r="IY2296" s="74"/>
      <c r="IZ2296" s="74"/>
      <c r="JA2296" s="74"/>
    </row>
    <row r="2297" spans="1:261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Q2297" s="74"/>
      <c r="R2297" s="74"/>
      <c r="S2297" s="74"/>
      <c r="T2297" s="74"/>
      <c r="U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  <c r="IW2297" s="74"/>
      <c r="IX2297" s="74"/>
      <c r="IY2297" s="74"/>
      <c r="IZ2297" s="74"/>
      <c r="JA2297" s="74"/>
    </row>
    <row r="2298" spans="1:261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Q2298" s="74"/>
      <c r="R2298" s="74"/>
      <c r="S2298" s="74"/>
      <c r="T2298" s="74"/>
      <c r="U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  <c r="IW2298" s="74"/>
      <c r="IX2298" s="74"/>
      <c r="IY2298" s="74"/>
      <c r="IZ2298" s="74"/>
      <c r="JA2298" s="74"/>
    </row>
    <row r="2299" spans="1:261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Q2299" s="74"/>
      <c r="R2299" s="74"/>
      <c r="S2299" s="74"/>
      <c r="T2299" s="74"/>
      <c r="U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  <c r="IW2299" s="74"/>
      <c r="IX2299" s="74"/>
      <c r="IY2299" s="74"/>
      <c r="IZ2299" s="74"/>
      <c r="JA2299" s="74"/>
    </row>
    <row r="2300" spans="1:261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Q2300" s="74"/>
      <c r="R2300" s="74"/>
      <c r="S2300" s="74"/>
      <c r="T2300" s="74"/>
      <c r="U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  <c r="IW2300" s="74"/>
      <c r="IX2300" s="74"/>
      <c r="IY2300" s="74"/>
      <c r="IZ2300" s="74"/>
      <c r="JA2300" s="74"/>
    </row>
    <row r="2301" spans="1:261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Q2301" s="74"/>
      <c r="R2301" s="74"/>
      <c r="S2301" s="74"/>
      <c r="T2301" s="74"/>
      <c r="U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  <c r="IW2301" s="74"/>
      <c r="IX2301" s="74"/>
      <c r="IY2301" s="74"/>
      <c r="IZ2301" s="74"/>
      <c r="JA2301" s="74"/>
    </row>
    <row r="2302" spans="1:261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Q2302" s="74"/>
      <c r="R2302" s="74"/>
      <c r="S2302" s="74"/>
      <c r="T2302" s="74"/>
      <c r="U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  <c r="IW2302" s="74"/>
      <c r="IX2302" s="74"/>
      <c r="IY2302" s="74"/>
      <c r="IZ2302" s="74"/>
      <c r="JA2302" s="74"/>
    </row>
    <row r="2303" spans="1:261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Q2303" s="74"/>
      <c r="R2303" s="74"/>
      <c r="S2303" s="74"/>
      <c r="T2303" s="74"/>
      <c r="U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  <c r="IW2303" s="74"/>
      <c r="IX2303" s="74"/>
      <c r="IY2303" s="74"/>
      <c r="IZ2303" s="74"/>
      <c r="JA2303" s="74"/>
    </row>
    <row r="2304" spans="1:261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Q2304" s="74"/>
      <c r="R2304" s="74"/>
      <c r="S2304" s="74"/>
      <c r="T2304" s="74"/>
      <c r="U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  <c r="IW2304" s="74"/>
      <c r="IX2304" s="74"/>
      <c r="IY2304" s="74"/>
      <c r="IZ2304" s="74"/>
      <c r="JA2304" s="74"/>
    </row>
    <row r="2305" spans="1:261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Q2305" s="74"/>
      <c r="R2305" s="74"/>
      <c r="S2305" s="74"/>
      <c r="T2305" s="74"/>
      <c r="U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  <c r="IW2305" s="74"/>
      <c r="IX2305" s="74"/>
      <c r="IY2305" s="74"/>
      <c r="IZ2305" s="74"/>
      <c r="JA2305" s="74"/>
    </row>
    <row r="2306" spans="1:261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Q2306" s="74"/>
      <c r="R2306" s="74"/>
      <c r="S2306" s="74"/>
      <c r="T2306" s="74"/>
      <c r="U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  <c r="IW2306" s="74"/>
      <c r="IX2306" s="74"/>
      <c r="IY2306" s="74"/>
      <c r="IZ2306" s="74"/>
      <c r="JA2306" s="74"/>
    </row>
    <row r="2307" spans="1:261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Q2307" s="74"/>
      <c r="R2307" s="74"/>
      <c r="S2307" s="74"/>
      <c r="T2307" s="74"/>
      <c r="U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  <c r="IW2307" s="74"/>
      <c r="IX2307" s="74"/>
      <c r="IY2307" s="74"/>
      <c r="IZ2307" s="74"/>
      <c r="JA2307" s="74"/>
    </row>
    <row r="2308" spans="1:261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Q2308" s="74"/>
      <c r="R2308" s="74"/>
      <c r="S2308" s="74"/>
      <c r="T2308" s="74"/>
      <c r="U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  <c r="IW2308" s="74"/>
      <c r="IX2308" s="74"/>
      <c r="IY2308" s="74"/>
      <c r="IZ2308" s="74"/>
      <c r="JA2308" s="74"/>
    </row>
    <row r="2309" spans="1:261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4"/>
      <c r="S2309" s="74"/>
      <c r="T2309" s="74"/>
      <c r="U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  <c r="IW2309" s="74"/>
      <c r="IX2309" s="74"/>
      <c r="IY2309" s="74"/>
      <c r="IZ2309" s="74"/>
      <c r="JA2309" s="74"/>
    </row>
    <row r="2310" spans="1:261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Q2310" s="74"/>
      <c r="R2310" s="74"/>
      <c r="S2310" s="74"/>
      <c r="T2310" s="74"/>
      <c r="U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  <c r="IW2310" s="74"/>
      <c r="IX2310" s="74"/>
      <c r="IY2310" s="74"/>
      <c r="IZ2310" s="74"/>
      <c r="JA2310" s="74"/>
    </row>
    <row r="2311" spans="1:261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Q2311" s="74"/>
      <c r="R2311" s="74"/>
      <c r="S2311" s="74"/>
      <c r="T2311" s="74"/>
      <c r="U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  <c r="IW2311" s="74"/>
      <c r="IX2311" s="74"/>
      <c r="IY2311" s="74"/>
      <c r="IZ2311" s="74"/>
      <c r="JA2311" s="74"/>
    </row>
    <row r="2312" spans="1:261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Q2312" s="74"/>
      <c r="R2312" s="74"/>
      <c r="S2312" s="74"/>
      <c r="T2312" s="74"/>
      <c r="U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  <c r="IW2312" s="74"/>
      <c r="IX2312" s="74"/>
      <c r="IY2312" s="74"/>
      <c r="IZ2312" s="74"/>
      <c r="JA2312" s="74"/>
    </row>
    <row r="2313" spans="1:261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Q2313" s="74"/>
      <c r="R2313" s="74"/>
      <c r="S2313" s="74"/>
      <c r="T2313" s="74"/>
      <c r="U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  <c r="IW2313" s="74"/>
      <c r="IX2313" s="74"/>
      <c r="IY2313" s="74"/>
      <c r="IZ2313" s="74"/>
      <c r="JA2313" s="74"/>
    </row>
    <row r="2314" spans="1:261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Q2314" s="74"/>
      <c r="R2314" s="74"/>
      <c r="S2314" s="74"/>
      <c r="T2314" s="74"/>
      <c r="U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  <c r="IW2314" s="74"/>
      <c r="IX2314" s="74"/>
      <c r="IY2314" s="74"/>
      <c r="IZ2314" s="74"/>
      <c r="JA2314" s="74"/>
    </row>
    <row r="2315" spans="1:261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Q2315" s="74"/>
      <c r="R2315" s="74"/>
      <c r="S2315" s="74"/>
      <c r="T2315" s="74"/>
      <c r="U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  <c r="IW2315" s="74"/>
      <c r="IX2315" s="74"/>
      <c r="IY2315" s="74"/>
      <c r="IZ2315" s="74"/>
      <c r="JA2315" s="74"/>
    </row>
    <row r="2316" spans="1:261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Q2316" s="74"/>
      <c r="R2316" s="74"/>
      <c r="S2316" s="74"/>
      <c r="T2316" s="74"/>
      <c r="U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  <c r="IW2316" s="74"/>
      <c r="IX2316" s="74"/>
      <c r="IY2316" s="74"/>
      <c r="IZ2316" s="74"/>
      <c r="JA2316" s="74"/>
    </row>
    <row r="2317" spans="1:261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Q2317" s="74"/>
      <c r="R2317" s="74"/>
      <c r="S2317" s="74"/>
      <c r="T2317" s="74"/>
      <c r="U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  <c r="IW2317" s="74"/>
      <c r="IX2317" s="74"/>
      <c r="IY2317" s="74"/>
      <c r="IZ2317" s="74"/>
      <c r="JA2317" s="74"/>
    </row>
    <row r="2318" spans="1:261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Q2318" s="74"/>
      <c r="R2318" s="74"/>
      <c r="S2318" s="74"/>
      <c r="T2318" s="74"/>
      <c r="U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  <c r="IW2318" s="74"/>
      <c r="IX2318" s="74"/>
      <c r="IY2318" s="74"/>
      <c r="IZ2318" s="74"/>
      <c r="JA2318" s="74"/>
    </row>
    <row r="2319" spans="1:261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Q2319" s="74"/>
      <c r="R2319" s="74"/>
      <c r="S2319" s="74"/>
      <c r="T2319" s="74"/>
      <c r="U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  <c r="IW2319" s="74"/>
      <c r="IX2319" s="74"/>
      <c r="IY2319" s="74"/>
      <c r="IZ2319" s="74"/>
      <c r="JA2319" s="74"/>
    </row>
    <row r="2320" spans="1:261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Q2320" s="74"/>
      <c r="R2320" s="74"/>
      <c r="S2320" s="74"/>
      <c r="T2320" s="74"/>
      <c r="U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  <c r="IW2320" s="74"/>
      <c r="IX2320" s="74"/>
      <c r="IY2320" s="74"/>
      <c r="IZ2320" s="74"/>
      <c r="JA2320" s="74"/>
    </row>
    <row r="2321" spans="1:261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Q2321" s="74"/>
      <c r="R2321" s="74"/>
      <c r="S2321" s="74"/>
      <c r="T2321" s="74"/>
      <c r="U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  <c r="IW2321" s="74"/>
      <c r="IX2321" s="74"/>
      <c r="IY2321" s="74"/>
      <c r="IZ2321" s="74"/>
      <c r="JA2321" s="74"/>
    </row>
    <row r="2322" spans="1:261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Q2322" s="74"/>
      <c r="R2322" s="74"/>
      <c r="S2322" s="74"/>
      <c r="T2322" s="74"/>
      <c r="U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  <c r="IW2322" s="74"/>
      <c r="IX2322" s="74"/>
      <c r="IY2322" s="74"/>
      <c r="IZ2322" s="74"/>
      <c r="JA2322" s="74"/>
    </row>
    <row r="2323" spans="1:261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Q2323" s="74"/>
      <c r="R2323" s="74"/>
      <c r="S2323" s="74"/>
      <c r="T2323" s="74"/>
      <c r="U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  <c r="IW2323" s="74"/>
      <c r="IX2323" s="74"/>
      <c r="IY2323" s="74"/>
      <c r="IZ2323" s="74"/>
      <c r="JA2323" s="74"/>
    </row>
    <row r="2324" spans="1:261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Q2324" s="74"/>
      <c r="R2324" s="74"/>
      <c r="S2324" s="74"/>
      <c r="T2324" s="74"/>
      <c r="U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  <c r="IW2324" s="74"/>
      <c r="IX2324" s="74"/>
      <c r="IY2324" s="74"/>
      <c r="IZ2324" s="74"/>
      <c r="JA2324" s="74"/>
    </row>
    <row r="2325" spans="1:261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Q2325" s="74"/>
      <c r="R2325" s="74"/>
      <c r="S2325" s="74"/>
      <c r="T2325" s="74"/>
      <c r="U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  <c r="IW2325" s="74"/>
      <c r="IX2325" s="74"/>
      <c r="IY2325" s="74"/>
      <c r="IZ2325" s="74"/>
      <c r="JA2325" s="74"/>
    </row>
    <row r="2326" spans="1:261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Q2326" s="74"/>
      <c r="R2326" s="74"/>
      <c r="S2326" s="74"/>
      <c r="T2326" s="74"/>
      <c r="U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  <c r="IW2326" s="74"/>
      <c r="IX2326" s="74"/>
      <c r="IY2326" s="74"/>
      <c r="IZ2326" s="74"/>
      <c r="JA2326" s="74"/>
    </row>
    <row r="2327" spans="1:261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Q2327" s="74"/>
      <c r="R2327" s="74"/>
      <c r="S2327" s="74"/>
      <c r="T2327" s="74"/>
      <c r="U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  <c r="IW2327" s="74"/>
      <c r="IX2327" s="74"/>
      <c r="IY2327" s="74"/>
      <c r="IZ2327" s="74"/>
      <c r="JA2327" s="74"/>
    </row>
    <row r="2328" spans="1:261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Q2328" s="74"/>
      <c r="R2328" s="74"/>
      <c r="S2328" s="74"/>
      <c r="T2328" s="74"/>
      <c r="U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  <c r="IW2328" s="74"/>
      <c r="IX2328" s="74"/>
      <c r="IY2328" s="74"/>
      <c r="IZ2328" s="74"/>
      <c r="JA2328" s="74"/>
    </row>
    <row r="2329" spans="1:261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Q2329" s="74"/>
      <c r="R2329" s="74"/>
      <c r="S2329" s="74"/>
      <c r="T2329" s="74"/>
      <c r="U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  <c r="IW2329" s="74"/>
      <c r="IX2329" s="74"/>
      <c r="IY2329" s="74"/>
      <c r="IZ2329" s="74"/>
      <c r="JA2329" s="74"/>
    </row>
    <row r="2330" spans="1:261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Q2330" s="74"/>
      <c r="R2330" s="74"/>
      <c r="S2330" s="74"/>
      <c r="T2330" s="74"/>
      <c r="U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  <c r="IW2330" s="74"/>
      <c r="IX2330" s="74"/>
      <c r="IY2330" s="74"/>
      <c r="IZ2330" s="74"/>
      <c r="JA2330" s="74"/>
    </row>
    <row r="2331" spans="1:261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Q2331" s="74"/>
      <c r="R2331" s="74"/>
      <c r="S2331" s="74"/>
      <c r="T2331" s="74"/>
      <c r="U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  <c r="IW2331" s="74"/>
      <c r="IX2331" s="74"/>
      <c r="IY2331" s="74"/>
      <c r="IZ2331" s="74"/>
      <c r="JA2331" s="74"/>
    </row>
    <row r="2332" spans="1:261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Q2332" s="74"/>
      <c r="R2332" s="74"/>
      <c r="S2332" s="74"/>
      <c r="T2332" s="74"/>
      <c r="U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  <c r="IW2332" s="74"/>
      <c r="IX2332" s="74"/>
      <c r="IY2332" s="74"/>
      <c r="IZ2332" s="74"/>
      <c r="JA2332" s="74"/>
    </row>
    <row r="2333" spans="1:261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Q2333" s="74"/>
      <c r="R2333" s="74"/>
      <c r="S2333" s="74"/>
      <c r="T2333" s="74"/>
      <c r="U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  <c r="IW2333" s="74"/>
      <c r="IX2333" s="74"/>
      <c r="IY2333" s="74"/>
      <c r="IZ2333" s="74"/>
      <c r="JA2333" s="74"/>
    </row>
    <row r="2334" spans="1:261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Q2334" s="74"/>
      <c r="R2334" s="74"/>
      <c r="S2334" s="74"/>
      <c r="T2334" s="74"/>
      <c r="U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  <c r="IW2334" s="74"/>
      <c r="IX2334" s="74"/>
      <c r="IY2334" s="74"/>
      <c r="IZ2334" s="74"/>
      <c r="JA2334" s="74"/>
    </row>
    <row r="2335" spans="1:261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Q2335" s="74"/>
      <c r="R2335" s="74"/>
      <c r="S2335" s="74"/>
      <c r="T2335" s="74"/>
      <c r="U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  <c r="IW2335" s="74"/>
      <c r="IX2335" s="74"/>
      <c r="IY2335" s="74"/>
      <c r="IZ2335" s="74"/>
      <c r="JA2335" s="74"/>
    </row>
    <row r="2336" spans="1:261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Q2336" s="74"/>
      <c r="R2336" s="74"/>
      <c r="S2336" s="74"/>
      <c r="T2336" s="74"/>
      <c r="U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  <c r="IW2336" s="74"/>
      <c r="IX2336" s="74"/>
      <c r="IY2336" s="74"/>
      <c r="IZ2336" s="74"/>
      <c r="JA2336" s="74"/>
    </row>
    <row r="2337" spans="1:261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Q2337" s="74"/>
      <c r="R2337" s="74"/>
      <c r="S2337" s="74"/>
      <c r="T2337" s="74"/>
      <c r="U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  <c r="IW2337" s="74"/>
      <c r="IX2337" s="74"/>
      <c r="IY2337" s="74"/>
      <c r="IZ2337" s="74"/>
      <c r="JA2337" s="74"/>
    </row>
    <row r="2338" spans="1:261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Q2338" s="74"/>
      <c r="R2338" s="74"/>
      <c r="S2338" s="74"/>
      <c r="T2338" s="74"/>
      <c r="U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  <c r="IW2338" s="74"/>
      <c r="IX2338" s="74"/>
      <c r="IY2338" s="74"/>
      <c r="IZ2338" s="74"/>
      <c r="JA2338" s="74"/>
    </row>
    <row r="2339" spans="1:261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Q2339" s="74"/>
      <c r="R2339" s="74"/>
      <c r="S2339" s="74"/>
      <c r="T2339" s="74"/>
      <c r="U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  <c r="IW2339" s="74"/>
      <c r="IX2339" s="74"/>
      <c r="IY2339" s="74"/>
      <c r="IZ2339" s="74"/>
      <c r="JA2339" s="74"/>
    </row>
    <row r="2340" spans="1:261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Q2340" s="74"/>
      <c r="R2340" s="74"/>
      <c r="S2340" s="74"/>
      <c r="T2340" s="74"/>
      <c r="U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  <c r="IW2340" s="74"/>
      <c r="IX2340" s="74"/>
      <c r="IY2340" s="74"/>
      <c r="IZ2340" s="74"/>
      <c r="JA2340" s="74"/>
    </row>
    <row r="2341" spans="1:261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Q2341" s="74"/>
      <c r="R2341" s="74"/>
      <c r="S2341" s="74"/>
      <c r="T2341" s="74"/>
      <c r="U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  <c r="IW2341" s="74"/>
      <c r="IX2341" s="74"/>
      <c r="IY2341" s="74"/>
      <c r="IZ2341" s="74"/>
      <c r="JA2341" s="74"/>
    </row>
    <row r="2342" spans="1:261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Q2342" s="74"/>
      <c r="R2342" s="74"/>
      <c r="S2342" s="74"/>
      <c r="T2342" s="74"/>
      <c r="U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  <c r="IW2342" s="74"/>
      <c r="IX2342" s="74"/>
      <c r="IY2342" s="74"/>
      <c r="IZ2342" s="74"/>
      <c r="JA2342" s="74"/>
    </row>
    <row r="2343" spans="1:261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Q2343" s="74"/>
      <c r="R2343" s="74"/>
      <c r="S2343" s="74"/>
      <c r="T2343" s="74"/>
      <c r="U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  <c r="IW2343" s="74"/>
      <c r="IX2343" s="74"/>
      <c r="IY2343" s="74"/>
      <c r="IZ2343" s="74"/>
      <c r="JA2343" s="74"/>
    </row>
    <row r="2344" spans="1:261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Q2344" s="74"/>
      <c r="R2344" s="74"/>
      <c r="S2344" s="74"/>
      <c r="T2344" s="74"/>
      <c r="U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  <c r="IW2344" s="74"/>
      <c r="IX2344" s="74"/>
      <c r="IY2344" s="74"/>
      <c r="IZ2344" s="74"/>
      <c r="JA2344" s="74"/>
    </row>
    <row r="2345" spans="1:261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Q2345" s="74"/>
      <c r="R2345" s="74"/>
      <c r="S2345" s="74"/>
      <c r="T2345" s="74"/>
      <c r="U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  <c r="IW2345" s="74"/>
      <c r="IX2345" s="74"/>
      <c r="IY2345" s="74"/>
      <c r="IZ2345" s="74"/>
      <c r="JA2345" s="74"/>
    </row>
    <row r="2346" spans="1:261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Q2346" s="74"/>
      <c r="R2346" s="74"/>
      <c r="S2346" s="74"/>
      <c r="T2346" s="74"/>
      <c r="U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  <c r="IW2346" s="74"/>
      <c r="IX2346" s="74"/>
      <c r="IY2346" s="74"/>
      <c r="IZ2346" s="74"/>
      <c r="JA2346" s="74"/>
    </row>
    <row r="2347" spans="1:261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Q2347" s="74"/>
      <c r="R2347" s="74"/>
      <c r="S2347" s="74"/>
      <c r="T2347" s="74"/>
      <c r="U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  <c r="IW2347" s="74"/>
      <c r="IX2347" s="74"/>
      <c r="IY2347" s="74"/>
      <c r="IZ2347" s="74"/>
      <c r="JA2347" s="74"/>
    </row>
    <row r="2348" spans="1:261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Q2348" s="74"/>
      <c r="R2348" s="74"/>
      <c r="S2348" s="74"/>
      <c r="T2348" s="74"/>
      <c r="U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  <c r="IW2348" s="74"/>
      <c r="IX2348" s="74"/>
      <c r="IY2348" s="74"/>
      <c r="IZ2348" s="74"/>
      <c r="JA2348" s="74"/>
    </row>
    <row r="2349" spans="1:261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Q2349" s="74"/>
      <c r="R2349" s="74"/>
      <c r="S2349" s="74"/>
      <c r="T2349" s="74"/>
      <c r="U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  <c r="IW2349" s="74"/>
      <c r="IX2349" s="74"/>
      <c r="IY2349" s="74"/>
      <c r="IZ2349" s="74"/>
      <c r="JA2349" s="74"/>
    </row>
    <row r="2350" spans="1:261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Q2350" s="74"/>
      <c r="R2350" s="74"/>
      <c r="S2350" s="74"/>
      <c r="T2350" s="74"/>
      <c r="U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  <c r="IW2350" s="74"/>
      <c r="IX2350" s="74"/>
      <c r="IY2350" s="74"/>
      <c r="IZ2350" s="74"/>
      <c r="JA2350" s="74"/>
    </row>
    <row r="2351" spans="1:261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Q2351" s="74"/>
      <c r="R2351" s="74"/>
      <c r="S2351" s="74"/>
      <c r="T2351" s="74"/>
      <c r="U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  <c r="IW2351" s="74"/>
      <c r="IX2351" s="74"/>
      <c r="IY2351" s="74"/>
      <c r="IZ2351" s="74"/>
      <c r="JA2351" s="74"/>
    </row>
    <row r="2352" spans="1:261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Q2352" s="74"/>
      <c r="R2352" s="74"/>
      <c r="S2352" s="74"/>
      <c r="T2352" s="74"/>
      <c r="U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  <c r="IW2352" s="74"/>
      <c r="IX2352" s="74"/>
      <c r="IY2352" s="74"/>
      <c r="IZ2352" s="74"/>
      <c r="JA2352" s="74"/>
    </row>
    <row r="2353" spans="1:261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74"/>
      <c r="R2353" s="74"/>
      <c r="S2353" s="74"/>
      <c r="T2353" s="74"/>
      <c r="U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  <c r="IW2353" s="74"/>
      <c r="IX2353" s="74"/>
      <c r="IY2353" s="74"/>
      <c r="IZ2353" s="74"/>
      <c r="JA2353" s="74"/>
    </row>
    <row r="2354" spans="1:261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Q2354" s="74"/>
      <c r="R2354" s="74"/>
      <c r="S2354" s="74"/>
      <c r="T2354" s="74"/>
      <c r="U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  <c r="IW2354" s="74"/>
      <c r="IX2354" s="74"/>
      <c r="IY2354" s="74"/>
      <c r="IZ2354" s="74"/>
      <c r="JA2354" s="74"/>
    </row>
    <row r="2355" spans="1:261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Q2355" s="74"/>
      <c r="R2355" s="74"/>
      <c r="S2355" s="74"/>
      <c r="T2355" s="74"/>
      <c r="U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  <c r="IW2355" s="74"/>
      <c r="IX2355" s="74"/>
      <c r="IY2355" s="74"/>
      <c r="IZ2355" s="74"/>
      <c r="JA2355" s="74"/>
    </row>
    <row r="2356" spans="1:261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Q2356" s="74"/>
      <c r="R2356" s="74"/>
      <c r="S2356" s="74"/>
      <c r="T2356" s="74"/>
      <c r="U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  <c r="IW2356" s="74"/>
      <c r="IX2356" s="74"/>
      <c r="IY2356" s="74"/>
      <c r="IZ2356" s="74"/>
      <c r="JA2356" s="74"/>
    </row>
    <row r="2357" spans="1:261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Q2357" s="74"/>
      <c r="R2357" s="74"/>
      <c r="S2357" s="74"/>
      <c r="T2357" s="74"/>
      <c r="U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  <c r="IW2357" s="74"/>
      <c r="IX2357" s="74"/>
      <c r="IY2357" s="74"/>
      <c r="IZ2357" s="74"/>
      <c r="JA2357" s="74"/>
    </row>
    <row r="2358" spans="1:261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Q2358" s="74"/>
      <c r="R2358" s="74"/>
      <c r="S2358" s="74"/>
      <c r="T2358" s="74"/>
      <c r="U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  <c r="IW2358" s="74"/>
      <c r="IX2358" s="74"/>
      <c r="IY2358" s="74"/>
      <c r="IZ2358" s="74"/>
      <c r="JA2358" s="74"/>
    </row>
    <row r="2359" spans="1:261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Q2359" s="74"/>
      <c r="R2359" s="74"/>
      <c r="S2359" s="74"/>
      <c r="T2359" s="74"/>
      <c r="U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  <c r="IW2359" s="74"/>
      <c r="IX2359" s="74"/>
      <c r="IY2359" s="74"/>
      <c r="IZ2359" s="74"/>
      <c r="JA2359" s="74"/>
    </row>
    <row r="2360" spans="1:261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Q2360" s="74"/>
      <c r="R2360" s="74"/>
      <c r="S2360" s="74"/>
      <c r="T2360" s="74"/>
      <c r="U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  <c r="IW2360" s="74"/>
      <c r="IX2360" s="74"/>
      <c r="IY2360" s="74"/>
      <c r="IZ2360" s="74"/>
      <c r="JA2360" s="74"/>
    </row>
    <row r="2361" spans="1:261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Q2361" s="74"/>
      <c r="R2361" s="74"/>
      <c r="S2361" s="74"/>
      <c r="T2361" s="74"/>
      <c r="U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  <c r="IW2361" s="74"/>
      <c r="IX2361" s="74"/>
      <c r="IY2361" s="74"/>
      <c r="IZ2361" s="74"/>
      <c r="JA2361" s="74"/>
    </row>
    <row r="2362" spans="1:261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Q2362" s="74"/>
      <c r="R2362" s="74"/>
      <c r="S2362" s="74"/>
      <c r="T2362" s="74"/>
      <c r="U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  <c r="IW2362" s="74"/>
      <c r="IX2362" s="74"/>
      <c r="IY2362" s="74"/>
      <c r="IZ2362" s="74"/>
      <c r="JA2362" s="74"/>
    </row>
    <row r="2363" spans="1:261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Q2363" s="74"/>
      <c r="R2363" s="74"/>
      <c r="S2363" s="74"/>
      <c r="T2363" s="74"/>
      <c r="U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  <c r="IW2363" s="74"/>
      <c r="IX2363" s="74"/>
      <c r="IY2363" s="74"/>
      <c r="IZ2363" s="74"/>
      <c r="JA2363" s="74"/>
    </row>
    <row r="2364" spans="1:261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Q2364" s="74"/>
      <c r="R2364" s="74"/>
      <c r="S2364" s="74"/>
      <c r="T2364" s="74"/>
      <c r="U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  <c r="IW2364" s="74"/>
      <c r="IX2364" s="74"/>
      <c r="IY2364" s="74"/>
      <c r="IZ2364" s="74"/>
      <c r="JA2364" s="74"/>
    </row>
    <row r="2365" spans="1:261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Q2365" s="74"/>
      <c r="R2365" s="74"/>
      <c r="S2365" s="74"/>
      <c r="T2365" s="74"/>
      <c r="U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  <c r="IW2365" s="74"/>
      <c r="IX2365" s="74"/>
      <c r="IY2365" s="74"/>
      <c r="IZ2365" s="74"/>
      <c r="JA2365" s="74"/>
    </row>
    <row r="2366" spans="1:261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Q2366" s="74"/>
      <c r="R2366" s="74"/>
      <c r="S2366" s="74"/>
      <c r="T2366" s="74"/>
      <c r="U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  <c r="IW2366" s="74"/>
      <c r="IX2366" s="74"/>
      <c r="IY2366" s="74"/>
      <c r="IZ2366" s="74"/>
      <c r="JA2366" s="74"/>
    </row>
    <row r="2367" spans="1:261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Q2367" s="74"/>
      <c r="R2367" s="74"/>
      <c r="S2367" s="74"/>
      <c r="T2367" s="74"/>
      <c r="U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  <c r="IW2367" s="74"/>
      <c r="IX2367" s="74"/>
      <c r="IY2367" s="74"/>
      <c r="IZ2367" s="74"/>
      <c r="JA2367" s="74"/>
    </row>
    <row r="2368" spans="1:261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Q2368" s="74"/>
      <c r="R2368" s="74"/>
      <c r="S2368" s="74"/>
      <c r="T2368" s="74"/>
      <c r="U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  <c r="IW2368" s="74"/>
      <c r="IX2368" s="74"/>
      <c r="IY2368" s="74"/>
      <c r="IZ2368" s="74"/>
      <c r="JA2368" s="74"/>
    </row>
    <row r="2369" spans="1:261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Q2369" s="74"/>
      <c r="R2369" s="74"/>
      <c r="S2369" s="74"/>
      <c r="T2369" s="74"/>
      <c r="U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  <c r="IW2369" s="74"/>
      <c r="IX2369" s="74"/>
      <c r="IY2369" s="74"/>
      <c r="IZ2369" s="74"/>
      <c r="JA2369" s="74"/>
    </row>
    <row r="2370" spans="1:261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Q2370" s="74"/>
      <c r="R2370" s="74"/>
      <c r="S2370" s="74"/>
      <c r="T2370" s="74"/>
      <c r="U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  <c r="IW2370" s="74"/>
      <c r="IX2370" s="74"/>
      <c r="IY2370" s="74"/>
      <c r="IZ2370" s="74"/>
      <c r="JA2370" s="74"/>
    </row>
    <row r="2371" spans="1:261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Q2371" s="74"/>
      <c r="R2371" s="74"/>
      <c r="S2371" s="74"/>
      <c r="T2371" s="74"/>
      <c r="U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  <c r="IW2371" s="74"/>
      <c r="IX2371" s="74"/>
      <c r="IY2371" s="74"/>
      <c r="IZ2371" s="74"/>
      <c r="JA2371" s="74"/>
    </row>
    <row r="2372" spans="1:261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Q2372" s="74"/>
      <c r="R2372" s="74"/>
      <c r="S2372" s="74"/>
      <c r="T2372" s="74"/>
      <c r="U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  <c r="IW2372" s="74"/>
      <c r="IX2372" s="74"/>
      <c r="IY2372" s="74"/>
      <c r="IZ2372" s="74"/>
      <c r="JA2372" s="74"/>
    </row>
    <row r="2373" spans="1:261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Q2373" s="74"/>
      <c r="R2373" s="74"/>
      <c r="S2373" s="74"/>
      <c r="T2373" s="74"/>
      <c r="U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  <c r="IW2373" s="74"/>
      <c r="IX2373" s="74"/>
      <c r="IY2373" s="74"/>
      <c r="IZ2373" s="74"/>
      <c r="JA2373" s="74"/>
    </row>
    <row r="2374" spans="1:261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Q2374" s="74"/>
      <c r="R2374" s="74"/>
      <c r="S2374" s="74"/>
      <c r="T2374" s="74"/>
      <c r="U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  <c r="IW2374" s="74"/>
      <c r="IX2374" s="74"/>
      <c r="IY2374" s="74"/>
      <c r="IZ2374" s="74"/>
      <c r="JA2374" s="74"/>
    </row>
    <row r="2375" spans="1:261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Q2375" s="74"/>
      <c r="R2375" s="74"/>
      <c r="S2375" s="74"/>
      <c r="T2375" s="74"/>
      <c r="U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  <c r="IW2375" s="74"/>
      <c r="IX2375" s="74"/>
      <c r="IY2375" s="74"/>
      <c r="IZ2375" s="74"/>
      <c r="JA2375" s="74"/>
    </row>
    <row r="2376" spans="1:261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Q2376" s="74"/>
      <c r="R2376" s="74"/>
      <c r="S2376" s="74"/>
      <c r="T2376" s="74"/>
      <c r="U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  <c r="IW2376" s="74"/>
      <c r="IX2376" s="74"/>
      <c r="IY2376" s="74"/>
      <c r="IZ2376" s="74"/>
      <c r="JA2376" s="74"/>
    </row>
    <row r="2377" spans="1:261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Q2377" s="74"/>
      <c r="R2377" s="74"/>
      <c r="S2377" s="74"/>
      <c r="T2377" s="74"/>
      <c r="U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  <c r="IW2377" s="74"/>
      <c r="IX2377" s="74"/>
      <c r="IY2377" s="74"/>
      <c r="IZ2377" s="74"/>
      <c r="JA2377" s="74"/>
    </row>
    <row r="2378" spans="1:261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Q2378" s="74"/>
      <c r="R2378" s="74"/>
      <c r="S2378" s="74"/>
      <c r="T2378" s="74"/>
      <c r="U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  <c r="IW2378" s="74"/>
      <c r="IX2378" s="74"/>
      <c r="IY2378" s="74"/>
      <c r="IZ2378" s="74"/>
      <c r="JA2378" s="74"/>
    </row>
    <row r="2379" spans="1:261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Q2379" s="74"/>
      <c r="R2379" s="74"/>
      <c r="S2379" s="74"/>
      <c r="T2379" s="74"/>
      <c r="U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  <c r="IW2379" s="74"/>
      <c r="IX2379" s="74"/>
      <c r="IY2379" s="74"/>
      <c r="IZ2379" s="74"/>
      <c r="JA2379" s="74"/>
    </row>
    <row r="2380" spans="1:261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Q2380" s="74"/>
      <c r="R2380" s="74"/>
      <c r="S2380" s="74"/>
      <c r="T2380" s="74"/>
      <c r="U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  <c r="IW2380" s="74"/>
      <c r="IX2380" s="74"/>
      <c r="IY2380" s="74"/>
      <c r="IZ2380" s="74"/>
      <c r="JA2380" s="74"/>
    </row>
    <row r="2381" spans="1:261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Q2381" s="74"/>
      <c r="R2381" s="74"/>
      <c r="S2381" s="74"/>
      <c r="T2381" s="74"/>
      <c r="U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  <c r="IW2381" s="74"/>
      <c r="IX2381" s="74"/>
      <c r="IY2381" s="74"/>
      <c r="IZ2381" s="74"/>
      <c r="JA2381" s="74"/>
    </row>
    <row r="2382" spans="1:261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Q2382" s="74"/>
      <c r="R2382" s="74"/>
      <c r="S2382" s="74"/>
      <c r="T2382" s="74"/>
      <c r="U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  <c r="IW2382" s="74"/>
      <c r="IX2382" s="74"/>
      <c r="IY2382" s="74"/>
      <c r="IZ2382" s="74"/>
      <c r="JA2382" s="74"/>
    </row>
    <row r="2383" spans="1:261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Q2383" s="74"/>
      <c r="R2383" s="74"/>
      <c r="S2383" s="74"/>
      <c r="T2383" s="74"/>
      <c r="U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  <c r="IW2383" s="74"/>
      <c r="IX2383" s="74"/>
      <c r="IY2383" s="74"/>
      <c r="IZ2383" s="74"/>
      <c r="JA2383" s="74"/>
    </row>
    <row r="2384" spans="1:261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Q2384" s="74"/>
      <c r="R2384" s="74"/>
      <c r="S2384" s="74"/>
      <c r="T2384" s="74"/>
      <c r="U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  <c r="IW2384" s="74"/>
      <c r="IX2384" s="74"/>
      <c r="IY2384" s="74"/>
      <c r="IZ2384" s="74"/>
      <c r="JA2384" s="74"/>
    </row>
    <row r="2385" spans="1:261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Q2385" s="74"/>
      <c r="R2385" s="74"/>
      <c r="S2385" s="74"/>
      <c r="T2385" s="74"/>
      <c r="U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  <c r="IW2385" s="74"/>
      <c r="IX2385" s="74"/>
      <c r="IY2385" s="74"/>
      <c r="IZ2385" s="74"/>
      <c r="JA2385" s="74"/>
    </row>
    <row r="2386" spans="1:261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Q2386" s="74"/>
      <c r="R2386" s="74"/>
      <c r="S2386" s="74"/>
      <c r="T2386" s="74"/>
      <c r="U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  <c r="IW2386" s="74"/>
      <c r="IX2386" s="74"/>
      <c r="IY2386" s="74"/>
      <c r="IZ2386" s="74"/>
      <c r="JA2386" s="74"/>
    </row>
    <row r="2387" spans="1:261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Q2387" s="74"/>
      <c r="R2387" s="74"/>
      <c r="S2387" s="74"/>
      <c r="T2387" s="74"/>
      <c r="U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  <c r="IW2387" s="74"/>
      <c r="IX2387" s="74"/>
      <c r="IY2387" s="74"/>
      <c r="IZ2387" s="74"/>
      <c r="JA2387" s="74"/>
    </row>
    <row r="2388" spans="1:261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Q2388" s="74"/>
      <c r="R2388" s="74"/>
      <c r="S2388" s="74"/>
      <c r="T2388" s="74"/>
      <c r="U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  <c r="IW2388" s="74"/>
      <c r="IX2388" s="74"/>
      <c r="IY2388" s="74"/>
      <c r="IZ2388" s="74"/>
      <c r="JA2388" s="74"/>
    </row>
    <row r="2389" spans="1:261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Q2389" s="74"/>
      <c r="R2389" s="74"/>
      <c r="S2389" s="74"/>
      <c r="T2389" s="74"/>
      <c r="U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  <c r="IW2389" s="74"/>
      <c r="IX2389" s="74"/>
      <c r="IY2389" s="74"/>
      <c r="IZ2389" s="74"/>
      <c r="JA2389" s="74"/>
    </row>
    <row r="2390" spans="1:261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Q2390" s="74"/>
      <c r="R2390" s="74"/>
      <c r="S2390" s="74"/>
      <c r="T2390" s="74"/>
      <c r="U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  <c r="IW2390" s="74"/>
      <c r="IX2390" s="74"/>
      <c r="IY2390" s="74"/>
      <c r="IZ2390" s="74"/>
      <c r="JA2390" s="74"/>
    </row>
    <row r="2391" spans="1:261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Q2391" s="74"/>
      <c r="R2391" s="74"/>
      <c r="S2391" s="74"/>
      <c r="T2391" s="74"/>
      <c r="U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  <c r="IW2391" s="74"/>
      <c r="IX2391" s="74"/>
      <c r="IY2391" s="74"/>
      <c r="IZ2391" s="74"/>
      <c r="JA2391" s="74"/>
    </row>
    <row r="2392" spans="1:261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Q2392" s="74"/>
      <c r="R2392" s="74"/>
      <c r="S2392" s="74"/>
      <c r="T2392" s="74"/>
      <c r="U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  <c r="IW2392" s="74"/>
      <c r="IX2392" s="74"/>
      <c r="IY2392" s="74"/>
      <c r="IZ2392" s="74"/>
      <c r="JA2392" s="74"/>
    </row>
    <row r="2393" spans="1:261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Q2393" s="74"/>
      <c r="R2393" s="74"/>
      <c r="S2393" s="74"/>
      <c r="T2393" s="74"/>
      <c r="U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  <c r="IW2393" s="74"/>
      <c r="IX2393" s="74"/>
      <c r="IY2393" s="74"/>
      <c r="IZ2393" s="74"/>
      <c r="JA2393" s="74"/>
    </row>
    <row r="2394" spans="1:261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Q2394" s="74"/>
      <c r="R2394" s="74"/>
      <c r="S2394" s="74"/>
      <c r="T2394" s="74"/>
      <c r="U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  <c r="IW2394" s="74"/>
      <c r="IX2394" s="74"/>
      <c r="IY2394" s="74"/>
      <c r="IZ2394" s="74"/>
      <c r="JA2394" s="74"/>
    </row>
    <row r="2395" spans="1:261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Q2395" s="74"/>
      <c r="R2395" s="74"/>
      <c r="S2395" s="74"/>
      <c r="T2395" s="74"/>
      <c r="U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  <c r="IW2395" s="74"/>
      <c r="IX2395" s="74"/>
      <c r="IY2395" s="74"/>
      <c r="IZ2395" s="74"/>
      <c r="JA2395" s="74"/>
    </row>
    <row r="2396" spans="1:261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Q2396" s="74"/>
      <c r="R2396" s="74"/>
      <c r="S2396" s="74"/>
      <c r="T2396" s="74"/>
      <c r="U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  <c r="IW2396" s="74"/>
      <c r="IX2396" s="74"/>
      <c r="IY2396" s="74"/>
      <c r="IZ2396" s="74"/>
      <c r="JA2396" s="74"/>
    </row>
    <row r="2397" spans="1:261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Q2397" s="74"/>
      <c r="R2397" s="74"/>
      <c r="S2397" s="74"/>
      <c r="T2397" s="74"/>
      <c r="U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  <c r="IW2397" s="74"/>
      <c r="IX2397" s="74"/>
      <c r="IY2397" s="74"/>
      <c r="IZ2397" s="74"/>
      <c r="JA2397" s="74"/>
    </row>
    <row r="2398" spans="1:261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Q2398" s="74"/>
      <c r="R2398" s="74"/>
      <c r="S2398" s="74"/>
      <c r="T2398" s="74"/>
      <c r="U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  <c r="IW2398" s="74"/>
      <c r="IX2398" s="74"/>
      <c r="IY2398" s="74"/>
      <c r="IZ2398" s="74"/>
      <c r="JA2398" s="74"/>
    </row>
    <row r="2399" spans="1:261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Q2399" s="74"/>
      <c r="R2399" s="74"/>
      <c r="S2399" s="74"/>
      <c r="T2399" s="74"/>
      <c r="U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  <c r="IW2399" s="74"/>
      <c r="IX2399" s="74"/>
      <c r="IY2399" s="74"/>
      <c r="IZ2399" s="74"/>
      <c r="JA2399" s="74"/>
    </row>
    <row r="2400" spans="1:261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Q2400" s="74"/>
      <c r="R2400" s="74"/>
      <c r="S2400" s="74"/>
      <c r="T2400" s="74"/>
      <c r="U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  <c r="IW2400" s="74"/>
      <c r="IX2400" s="74"/>
      <c r="IY2400" s="74"/>
      <c r="IZ2400" s="74"/>
      <c r="JA2400" s="74"/>
    </row>
    <row r="2401" spans="1:261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Q2401" s="74"/>
      <c r="R2401" s="74"/>
      <c r="S2401" s="74"/>
      <c r="T2401" s="74"/>
      <c r="U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  <c r="IW2401" s="74"/>
      <c r="IX2401" s="74"/>
      <c r="IY2401" s="74"/>
      <c r="IZ2401" s="74"/>
      <c r="JA2401" s="74"/>
    </row>
    <row r="2402" spans="1:261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Q2402" s="74"/>
      <c r="R2402" s="74"/>
      <c r="S2402" s="74"/>
      <c r="T2402" s="74"/>
      <c r="U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  <c r="IW2402" s="74"/>
      <c r="IX2402" s="74"/>
      <c r="IY2402" s="74"/>
      <c r="IZ2402" s="74"/>
      <c r="JA2402" s="74"/>
    </row>
    <row r="2403" spans="1:261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Q2403" s="74"/>
      <c r="R2403" s="74"/>
      <c r="S2403" s="74"/>
      <c r="T2403" s="74"/>
      <c r="U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  <c r="IW2403" s="74"/>
      <c r="IX2403" s="74"/>
      <c r="IY2403" s="74"/>
      <c r="IZ2403" s="74"/>
      <c r="JA2403" s="74"/>
    </row>
    <row r="2404" spans="1:261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Q2404" s="74"/>
      <c r="R2404" s="74"/>
      <c r="S2404" s="74"/>
      <c r="T2404" s="74"/>
      <c r="U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  <c r="IW2404" s="74"/>
      <c r="IX2404" s="74"/>
      <c r="IY2404" s="74"/>
      <c r="IZ2404" s="74"/>
      <c r="JA2404" s="74"/>
    </row>
    <row r="2405" spans="1:261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Q2405" s="74"/>
      <c r="R2405" s="74"/>
      <c r="S2405" s="74"/>
      <c r="T2405" s="74"/>
      <c r="U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  <c r="IW2405" s="74"/>
      <c r="IX2405" s="74"/>
      <c r="IY2405" s="74"/>
      <c r="IZ2405" s="74"/>
      <c r="JA2405" s="74"/>
    </row>
    <row r="2406" spans="1:261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Q2406" s="74"/>
      <c r="R2406" s="74"/>
      <c r="S2406" s="74"/>
      <c r="T2406" s="74"/>
      <c r="U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  <c r="IW2406" s="74"/>
      <c r="IX2406" s="74"/>
      <c r="IY2406" s="74"/>
      <c r="IZ2406" s="74"/>
      <c r="JA2406" s="74"/>
    </row>
    <row r="2407" spans="1:261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Q2407" s="74"/>
      <c r="R2407" s="74"/>
      <c r="S2407" s="74"/>
      <c r="T2407" s="74"/>
      <c r="U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  <c r="IW2407" s="74"/>
      <c r="IX2407" s="74"/>
      <c r="IY2407" s="74"/>
      <c r="IZ2407" s="74"/>
      <c r="JA2407" s="74"/>
    </row>
    <row r="2408" spans="1:261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Q2408" s="74"/>
      <c r="R2408" s="74"/>
      <c r="S2408" s="74"/>
      <c r="T2408" s="74"/>
      <c r="U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  <c r="IW2408" s="74"/>
      <c r="IX2408" s="74"/>
      <c r="IY2408" s="74"/>
      <c r="IZ2408" s="74"/>
      <c r="JA2408" s="74"/>
    </row>
    <row r="2409" spans="1:261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Q2409" s="74"/>
      <c r="R2409" s="74"/>
      <c r="S2409" s="74"/>
      <c r="T2409" s="74"/>
      <c r="U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  <c r="IW2409" s="74"/>
      <c r="IX2409" s="74"/>
      <c r="IY2409" s="74"/>
      <c r="IZ2409" s="74"/>
      <c r="JA2409" s="74"/>
    </row>
    <row r="2410" spans="1:261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Q2410" s="74"/>
      <c r="R2410" s="74"/>
      <c r="S2410" s="74"/>
      <c r="T2410" s="74"/>
      <c r="U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  <c r="IW2410" s="74"/>
      <c r="IX2410" s="74"/>
      <c r="IY2410" s="74"/>
      <c r="IZ2410" s="74"/>
      <c r="JA2410" s="74"/>
    </row>
    <row r="2411" spans="1:261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Q2411" s="74"/>
      <c r="R2411" s="74"/>
      <c r="S2411" s="74"/>
      <c r="T2411" s="74"/>
      <c r="U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  <c r="IW2411" s="74"/>
      <c r="IX2411" s="74"/>
      <c r="IY2411" s="74"/>
      <c r="IZ2411" s="74"/>
      <c r="JA2411" s="74"/>
    </row>
    <row r="2412" spans="1:261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Q2412" s="74"/>
      <c r="R2412" s="74"/>
      <c r="S2412" s="74"/>
      <c r="T2412" s="74"/>
      <c r="U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  <c r="IW2412" s="74"/>
      <c r="IX2412" s="74"/>
      <c r="IY2412" s="74"/>
      <c r="IZ2412" s="74"/>
      <c r="JA2412" s="74"/>
    </row>
    <row r="2413" spans="1:261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Q2413" s="74"/>
      <c r="R2413" s="74"/>
      <c r="S2413" s="74"/>
      <c r="T2413" s="74"/>
      <c r="U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  <c r="IW2413" s="74"/>
      <c r="IX2413" s="74"/>
      <c r="IY2413" s="74"/>
      <c r="IZ2413" s="74"/>
      <c r="JA2413" s="74"/>
    </row>
    <row r="2414" spans="1:261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Q2414" s="74"/>
      <c r="R2414" s="74"/>
      <c r="S2414" s="74"/>
      <c r="T2414" s="74"/>
      <c r="U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  <c r="IW2414" s="74"/>
      <c r="IX2414" s="74"/>
      <c r="IY2414" s="74"/>
      <c r="IZ2414" s="74"/>
      <c r="JA2414" s="74"/>
    </row>
    <row r="2415" spans="1:261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Q2415" s="74"/>
      <c r="R2415" s="74"/>
      <c r="S2415" s="74"/>
      <c r="T2415" s="74"/>
      <c r="U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  <c r="IW2415" s="74"/>
      <c r="IX2415" s="74"/>
      <c r="IY2415" s="74"/>
      <c r="IZ2415" s="74"/>
      <c r="JA2415" s="74"/>
    </row>
    <row r="2416" spans="1:261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Q2416" s="74"/>
      <c r="R2416" s="74"/>
      <c r="S2416" s="74"/>
      <c r="T2416" s="74"/>
      <c r="U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  <c r="IW2416" s="74"/>
      <c r="IX2416" s="74"/>
      <c r="IY2416" s="74"/>
      <c r="IZ2416" s="74"/>
      <c r="JA2416" s="74"/>
    </row>
    <row r="2417" spans="1:261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Q2417" s="74"/>
      <c r="R2417" s="74"/>
      <c r="S2417" s="74"/>
      <c r="T2417" s="74"/>
      <c r="U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  <c r="IW2417" s="74"/>
      <c r="IX2417" s="74"/>
      <c r="IY2417" s="74"/>
      <c r="IZ2417" s="74"/>
      <c r="JA2417" s="74"/>
    </row>
    <row r="2418" spans="1:261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Q2418" s="74"/>
      <c r="R2418" s="74"/>
      <c r="S2418" s="74"/>
      <c r="T2418" s="74"/>
      <c r="U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  <c r="IW2418" s="74"/>
      <c r="IX2418" s="74"/>
      <c r="IY2418" s="74"/>
      <c r="IZ2418" s="74"/>
      <c r="JA2418" s="74"/>
    </row>
    <row r="2419" spans="1:261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Q2419" s="74"/>
      <c r="R2419" s="74"/>
      <c r="S2419" s="74"/>
      <c r="T2419" s="74"/>
      <c r="U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  <c r="IW2419" s="74"/>
      <c r="IX2419" s="74"/>
      <c r="IY2419" s="74"/>
      <c r="IZ2419" s="74"/>
      <c r="JA2419" s="74"/>
    </row>
    <row r="2420" spans="1:261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Q2420" s="74"/>
      <c r="R2420" s="74"/>
      <c r="S2420" s="74"/>
      <c r="T2420" s="74"/>
      <c r="U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  <c r="IW2420" s="74"/>
      <c r="IX2420" s="74"/>
      <c r="IY2420" s="74"/>
      <c r="IZ2420" s="74"/>
      <c r="JA2420" s="74"/>
    </row>
    <row r="2421" spans="1:261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Q2421" s="74"/>
      <c r="R2421" s="74"/>
      <c r="S2421" s="74"/>
      <c r="T2421" s="74"/>
      <c r="U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  <c r="IW2421" s="74"/>
      <c r="IX2421" s="74"/>
      <c r="IY2421" s="74"/>
      <c r="IZ2421" s="74"/>
      <c r="JA2421" s="74"/>
    </row>
    <row r="2422" spans="1:261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Q2422" s="74"/>
      <c r="R2422" s="74"/>
      <c r="S2422" s="74"/>
      <c r="T2422" s="74"/>
      <c r="U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  <c r="IW2422" s="74"/>
      <c r="IX2422" s="74"/>
      <c r="IY2422" s="74"/>
      <c r="IZ2422" s="74"/>
      <c r="JA2422" s="74"/>
    </row>
    <row r="2423" spans="1:261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Q2423" s="74"/>
      <c r="R2423" s="74"/>
      <c r="S2423" s="74"/>
      <c r="T2423" s="74"/>
      <c r="U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  <c r="IW2423" s="74"/>
      <c r="IX2423" s="74"/>
      <c r="IY2423" s="74"/>
      <c r="IZ2423" s="74"/>
      <c r="JA2423" s="74"/>
    </row>
    <row r="2424" spans="1:261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Q2424" s="74"/>
      <c r="R2424" s="74"/>
      <c r="S2424" s="74"/>
      <c r="T2424" s="74"/>
      <c r="U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  <c r="IW2424" s="74"/>
      <c r="IX2424" s="74"/>
      <c r="IY2424" s="74"/>
      <c r="IZ2424" s="74"/>
      <c r="JA2424" s="74"/>
    </row>
    <row r="2425" spans="1:261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Q2425" s="74"/>
      <c r="R2425" s="74"/>
      <c r="S2425" s="74"/>
      <c r="T2425" s="74"/>
      <c r="U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  <c r="IW2425" s="74"/>
      <c r="IX2425" s="74"/>
      <c r="IY2425" s="74"/>
      <c r="IZ2425" s="74"/>
      <c r="JA2425" s="74"/>
    </row>
    <row r="2426" spans="1:261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Q2426" s="74"/>
      <c r="R2426" s="74"/>
      <c r="S2426" s="74"/>
      <c r="T2426" s="74"/>
      <c r="U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  <c r="IW2426" s="74"/>
      <c r="IX2426" s="74"/>
      <c r="IY2426" s="74"/>
      <c r="IZ2426" s="74"/>
      <c r="JA2426" s="74"/>
    </row>
    <row r="2427" spans="1:261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Q2427" s="74"/>
      <c r="R2427" s="74"/>
      <c r="S2427" s="74"/>
      <c r="T2427" s="74"/>
      <c r="U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  <c r="IW2427" s="74"/>
      <c r="IX2427" s="74"/>
      <c r="IY2427" s="74"/>
      <c r="IZ2427" s="74"/>
      <c r="JA2427" s="74"/>
    </row>
    <row r="2428" spans="1:261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Q2428" s="74"/>
      <c r="R2428" s="74"/>
      <c r="S2428" s="74"/>
      <c r="T2428" s="74"/>
      <c r="U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  <c r="IW2428" s="74"/>
      <c r="IX2428" s="74"/>
      <c r="IY2428" s="74"/>
      <c r="IZ2428" s="74"/>
      <c r="JA2428" s="74"/>
    </row>
    <row r="2429" spans="1:261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Q2429" s="74"/>
      <c r="R2429" s="74"/>
      <c r="S2429" s="74"/>
      <c r="T2429" s="74"/>
      <c r="U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  <c r="IW2429" s="74"/>
      <c r="IX2429" s="74"/>
      <c r="IY2429" s="74"/>
      <c r="IZ2429" s="74"/>
      <c r="JA2429" s="74"/>
    </row>
    <row r="2430" spans="1:261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Q2430" s="74"/>
      <c r="R2430" s="74"/>
      <c r="S2430" s="74"/>
      <c r="T2430" s="74"/>
      <c r="U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  <c r="IW2430" s="74"/>
      <c r="IX2430" s="74"/>
      <c r="IY2430" s="74"/>
      <c r="IZ2430" s="74"/>
      <c r="JA2430" s="74"/>
    </row>
    <row r="2431" spans="1:261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Q2431" s="74"/>
      <c r="R2431" s="74"/>
      <c r="S2431" s="74"/>
      <c r="T2431" s="74"/>
      <c r="U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  <c r="IW2431" s="74"/>
      <c r="IX2431" s="74"/>
      <c r="IY2431" s="74"/>
      <c r="IZ2431" s="74"/>
      <c r="JA2431" s="74"/>
    </row>
    <row r="2432" spans="1:261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Q2432" s="74"/>
      <c r="R2432" s="74"/>
      <c r="S2432" s="74"/>
      <c r="T2432" s="74"/>
      <c r="U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  <c r="IW2432" s="74"/>
      <c r="IX2432" s="74"/>
      <c r="IY2432" s="74"/>
      <c r="IZ2432" s="74"/>
      <c r="JA2432" s="74"/>
    </row>
    <row r="2433" spans="1:261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Q2433" s="74"/>
      <c r="R2433" s="74"/>
      <c r="S2433" s="74"/>
      <c r="T2433" s="74"/>
      <c r="U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  <c r="IW2433" s="74"/>
      <c r="IX2433" s="74"/>
      <c r="IY2433" s="74"/>
      <c r="IZ2433" s="74"/>
      <c r="JA2433" s="74"/>
    </row>
    <row r="2434" spans="1:261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Q2434" s="74"/>
      <c r="R2434" s="74"/>
      <c r="S2434" s="74"/>
      <c r="T2434" s="74"/>
      <c r="U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  <c r="IW2434" s="74"/>
      <c r="IX2434" s="74"/>
      <c r="IY2434" s="74"/>
      <c r="IZ2434" s="74"/>
      <c r="JA2434" s="74"/>
    </row>
    <row r="2435" spans="1:261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Q2435" s="74"/>
      <c r="R2435" s="74"/>
      <c r="S2435" s="74"/>
      <c r="T2435" s="74"/>
      <c r="U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  <c r="IW2435" s="74"/>
      <c r="IX2435" s="74"/>
      <c r="IY2435" s="74"/>
      <c r="IZ2435" s="74"/>
      <c r="JA2435" s="74"/>
    </row>
    <row r="2436" spans="1:261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Q2436" s="74"/>
      <c r="R2436" s="74"/>
      <c r="S2436" s="74"/>
      <c r="T2436" s="74"/>
      <c r="U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  <c r="IW2436" s="74"/>
      <c r="IX2436" s="74"/>
      <c r="IY2436" s="74"/>
      <c r="IZ2436" s="74"/>
      <c r="JA2436" s="74"/>
    </row>
    <row r="2437" spans="1:261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Q2437" s="74"/>
      <c r="R2437" s="74"/>
      <c r="S2437" s="74"/>
      <c r="T2437" s="74"/>
      <c r="U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  <c r="IW2437" s="74"/>
      <c r="IX2437" s="74"/>
      <c r="IY2437" s="74"/>
      <c r="IZ2437" s="74"/>
      <c r="JA2437" s="74"/>
    </row>
    <row r="2438" spans="1:261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Q2438" s="74"/>
      <c r="R2438" s="74"/>
      <c r="S2438" s="74"/>
      <c r="T2438" s="74"/>
      <c r="U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  <c r="IW2438" s="74"/>
      <c r="IX2438" s="74"/>
      <c r="IY2438" s="74"/>
      <c r="IZ2438" s="74"/>
      <c r="JA2438" s="74"/>
    </row>
    <row r="2439" spans="1:261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Q2439" s="74"/>
      <c r="R2439" s="74"/>
      <c r="S2439" s="74"/>
      <c r="T2439" s="74"/>
      <c r="U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  <c r="IW2439" s="74"/>
      <c r="IX2439" s="74"/>
      <c r="IY2439" s="74"/>
      <c r="IZ2439" s="74"/>
      <c r="JA2439" s="74"/>
    </row>
    <row r="2440" spans="1:261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Q2440" s="74"/>
      <c r="R2440" s="74"/>
      <c r="S2440" s="74"/>
      <c r="T2440" s="74"/>
      <c r="U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  <c r="IW2440" s="74"/>
      <c r="IX2440" s="74"/>
      <c r="IY2440" s="74"/>
      <c r="IZ2440" s="74"/>
      <c r="JA2440" s="74"/>
    </row>
    <row r="2441" spans="1:261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Q2441" s="74"/>
      <c r="R2441" s="74"/>
      <c r="S2441" s="74"/>
      <c r="T2441" s="74"/>
      <c r="U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  <c r="IW2441" s="74"/>
      <c r="IX2441" s="74"/>
      <c r="IY2441" s="74"/>
      <c r="IZ2441" s="74"/>
      <c r="JA2441" s="74"/>
    </row>
    <row r="2442" spans="1:261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Q2442" s="74"/>
      <c r="R2442" s="74"/>
      <c r="S2442" s="74"/>
      <c r="T2442" s="74"/>
      <c r="U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  <c r="IW2442" s="74"/>
      <c r="IX2442" s="74"/>
      <c r="IY2442" s="74"/>
      <c r="IZ2442" s="74"/>
      <c r="JA2442" s="74"/>
    </row>
    <row r="2443" spans="1:261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Q2443" s="74"/>
      <c r="R2443" s="74"/>
      <c r="S2443" s="74"/>
      <c r="T2443" s="74"/>
      <c r="U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  <c r="IW2443" s="74"/>
      <c r="IX2443" s="74"/>
      <c r="IY2443" s="74"/>
      <c r="IZ2443" s="74"/>
      <c r="JA2443" s="74"/>
    </row>
    <row r="2444" spans="1:261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Q2444" s="74"/>
      <c r="R2444" s="74"/>
      <c r="S2444" s="74"/>
      <c r="T2444" s="74"/>
      <c r="U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  <c r="IW2444" s="74"/>
      <c r="IX2444" s="74"/>
      <c r="IY2444" s="74"/>
      <c r="IZ2444" s="74"/>
      <c r="JA2444" s="74"/>
    </row>
    <row r="2445" spans="1:261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Q2445" s="74"/>
      <c r="R2445" s="74"/>
      <c r="S2445" s="74"/>
      <c r="T2445" s="74"/>
      <c r="U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  <c r="IW2445" s="74"/>
      <c r="IX2445" s="74"/>
      <c r="IY2445" s="74"/>
      <c r="IZ2445" s="74"/>
      <c r="JA2445" s="74"/>
    </row>
    <row r="2446" spans="1:261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Q2446" s="74"/>
      <c r="R2446" s="74"/>
      <c r="S2446" s="74"/>
      <c r="T2446" s="74"/>
      <c r="U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  <c r="IW2446" s="74"/>
      <c r="IX2446" s="74"/>
      <c r="IY2446" s="74"/>
      <c r="IZ2446" s="74"/>
      <c r="JA2446" s="74"/>
    </row>
    <row r="2447" spans="1:261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Q2447" s="74"/>
      <c r="R2447" s="74"/>
      <c r="S2447" s="74"/>
      <c r="T2447" s="74"/>
      <c r="U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  <c r="IW2447" s="74"/>
      <c r="IX2447" s="74"/>
      <c r="IY2447" s="74"/>
      <c r="IZ2447" s="74"/>
      <c r="JA2447" s="74"/>
    </row>
    <row r="2448" spans="1:261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Q2448" s="74"/>
      <c r="R2448" s="74"/>
      <c r="S2448" s="74"/>
      <c r="T2448" s="74"/>
      <c r="U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  <c r="IW2448" s="74"/>
      <c r="IX2448" s="74"/>
      <c r="IY2448" s="74"/>
      <c r="IZ2448" s="74"/>
      <c r="JA2448" s="74"/>
    </row>
    <row r="2449" spans="1:261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Q2449" s="74"/>
      <c r="R2449" s="74"/>
      <c r="S2449" s="74"/>
      <c r="T2449" s="74"/>
      <c r="U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  <c r="IW2449" s="74"/>
      <c r="IX2449" s="74"/>
      <c r="IY2449" s="74"/>
      <c r="IZ2449" s="74"/>
      <c r="JA2449" s="74"/>
    </row>
    <row r="2450" spans="1:261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Q2450" s="74"/>
      <c r="R2450" s="74"/>
      <c r="S2450" s="74"/>
      <c r="T2450" s="74"/>
      <c r="U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  <c r="IW2450" s="74"/>
      <c r="IX2450" s="74"/>
      <c r="IY2450" s="74"/>
      <c r="IZ2450" s="74"/>
      <c r="JA2450" s="74"/>
    </row>
    <row r="2451" spans="1:261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Q2451" s="74"/>
      <c r="R2451" s="74"/>
      <c r="S2451" s="74"/>
      <c r="T2451" s="74"/>
      <c r="U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  <c r="IW2451" s="74"/>
      <c r="IX2451" s="74"/>
      <c r="IY2451" s="74"/>
      <c r="IZ2451" s="74"/>
      <c r="JA2451" s="74"/>
    </row>
    <row r="2452" spans="1:261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Q2452" s="74"/>
      <c r="R2452" s="74"/>
      <c r="S2452" s="74"/>
      <c r="T2452" s="74"/>
      <c r="U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  <c r="IW2452" s="74"/>
      <c r="IX2452" s="74"/>
      <c r="IY2452" s="74"/>
      <c r="IZ2452" s="74"/>
      <c r="JA2452" s="74"/>
    </row>
    <row r="2453" spans="1:261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Q2453" s="74"/>
      <c r="R2453" s="74"/>
      <c r="S2453" s="74"/>
      <c r="T2453" s="74"/>
      <c r="U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  <c r="IW2453" s="74"/>
      <c r="IX2453" s="74"/>
      <c r="IY2453" s="74"/>
      <c r="IZ2453" s="74"/>
      <c r="JA2453" s="74"/>
    </row>
    <row r="2454" spans="1:261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Q2454" s="74"/>
      <c r="R2454" s="74"/>
      <c r="S2454" s="74"/>
      <c r="T2454" s="74"/>
      <c r="U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  <c r="IW2454" s="74"/>
      <c r="IX2454" s="74"/>
      <c r="IY2454" s="74"/>
      <c r="IZ2454" s="74"/>
      <c r="JA2454" s="74"/>
    </row>
    <row r="2455" spans="1:261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Q2455" s="74"/>
      <c r="R2455" s="74"/>
      <c r="S2455" s="74"/>
      <c r="T2455" s="74"/>
      <c r="U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  <c r="IW2455" s="74"/>
      <c r="IX2455" s="74"/>
      <c r="IY2455" s="74"/>
      <c r="IZ2455" s="74"/>
      <c r="JA2455" s="74"/>
    </row>
    <row r="2456" spans="1:261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Q2456" s="74"/>
      <c r="R2456" s="74"/>
      <c r="S2456" s="74"/>
      <c r="T2456" s="74"/>
      <c r="U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  <c r="IW2456" s="74"/>
      <c r="IX2456" s="74"/>
      <c r="IY2456" s="74"/>
      <c r="IZ2456" s="74"/>
      <c r="JA2456" s="74"/>
    </row>
    <row r="2457" spans="1:261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Q2457" s="74"/>
      <c r="R2457" s="74"/>
      <c r="S2457" s="74"/>
      <c r="T2457" s="74"/>
      <c r="U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  <c r="IW2457" s="74"/>
      <c r="IX2457" s="74"/>
      <c r="IY2457" s="74"/>
      <c r="IZ2457" s="74"/>
      <c r="JA2457" s="74"/>
    </row>
    <row r="2458" spans="1:261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Q2458" s="74"/>
      <c r="R2458" s="74"/>
      <c r="S2458" s="74"/>
      <c r="T2458" s="74"/>
      <c r="U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  <c r="IW2458" s="74"/>
      <c r="IX2458" s="74"/>
      <c r="IY2458" s="74"/>
      <c r="IZ2458" s="74"/>
      <c r="JA2458" s="74"/>
    </row>
    <row r="2459" spans="1:261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Q2459" s="74"/>
      <c r="R2459" s="74"/>
      <c r="S2459" s="74"/>
      <c r="T2459" s="74"/>
      <c r="U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  <c r="IW2459" s="74"/>
      <c r="IX2459" s="74"/>
      <c r="IY2459" s="74"/>
      <c r="IZ2459" s="74"/>
      <c r="JA2459" s="74"/>
    </row>
    <row r="2460" spans="1:261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Q2460" s="74"/>
      <c r="R2460" s="74"/>
      <c r="S2460" s="74"/>
      <c r="T2460" s="74"/>
      <c r="U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  <c r="IW2460" s="74"/>
      <c r="IX2460" s="74"/>
      <c r="IY2460" s="74"/>
      <c r="IZ2460" s="74"/>
      <c r="JA2460" s="74"/>
    </row>
    <row r="2461" spans="1:261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Q2461" s="74"/>
      <c r="R2461" s="74"/>
      <c r="S2461" s="74"/>
      <c r="T2461" s="74"/>
      <c r="U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  <c r="IW2461" s="74"/>
      <c r="IX2461" s="74"/>
      <c r="IY2461" s="74"/>
      <c r="IZ2461" s="74"/>
      <c r="JA2461" s="74"/>
    </row>
    <row r="2462" spans="1:261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Q2462" s="74"/>
      <c r="R2462" s="74"/>
      <c r="S2462" s="74"/>
      <c r="T2462" s="74"/>
      <c r="U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  <c r="IW2462" s="74"/>
      <c r="IX2462" s="74"/>
      <c r="IY2462" s="74"/>
      <c r="IZ2462" s="74"/>
      <c r="JA2462" s="74"/>
    </row>
    <row r="2463" spans="1:261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Q2463" s="74"/>
      <c r="R2463" s="74"/>
      <c r="S2463" s="74"/>
      <c r="T2463" s="74"/>
      <c r="U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  <c r="IW2463" s="74"/>
      <c r="IX2463" s="74"/>
      <c r="IY2463" s="74"/>
      <c r="IZ2463" s="74"/>
      <c r="JA2463" s="74"/>
    </row>
    <row r="2464" spans="1:261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Q2464" s="74"/>
      <c r="R2464" s="74"/>
      <c r="S2464" s="74"/>
      <c r="T2464" s="74"/>
      <c r="U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  <c r="IW2464" s="74"/>
      <c r="IX2464" s="74"/>
      <c r="IY2464" s="74"/>
      <c r="IZ2464" s="74"/>
      <c r="JA2464" s="74"/>
    </row>
    <row r="2465" spans="1:261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Q2465" s="74"/>
      <c r="R2465" s="74"/>
      <c r="S2465" s="74"/>
      <c r="T2465" s="74"/>
      <c r="U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  <c r="IW2465" s="74"/>
      <c r="IX2465" s="74"/>
      <c r="IY2465" s="74"/>
      <c r="IZ2465" s="74"/>
      <c r="JA2465" s="74"/>
    </row>
    <row r="2466" spans="1:261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Q2466" s="74"/>
      <c r="R2466" s="74"/>
      <c r="S2466" s="74"/>
      <c r="T2466" s="74"/>
      <c r="U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  <c r="IW2466" s="74"/>
      <c r="IX2466" s="74"/>
      <c r="IY2466" s="74"/>
      <c r="IZ2466" s="74"/>
      <c r="JA2466" s="74"/>
    </row>
    <row r="2467" spans="1:261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Q2467" s="74"/>
      <c r="R2467" s="74"/>
      <c r="S2467" s="74"/>
      <c r="T2467" s="74"/>
      <c r="U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  <c r="IW2467" s="74"/>
      <c r="IX2467" s="74"/>
      <c r="IY2467" s="74"/>
      <c r="IZ2467" s="74"/>
      <c r="JA2467" s="74"/>
    </row>
    <row r="2468" spans="1:261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Q2468" s="74"/>
      <c r="R2468" s="74"/>
      <c r="S2468" s="74"/>
      <c r="T2468" s="74"/>
      <c r="U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  <c r="IW2468" s="74"/>
      <c r="IX2468" s="74"/>
      <c r="IY2468" s="74"/>
      <c r="IZ2468" s="74"/>
      <c r="JA2468" s="74"/>
    </row>
    <row r="2469" spans="1:261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Q2469" s="74"/>
      <c r="R2469" s="74"/>
      <c r="S2469" s="74"/>
      <c r="T2469" s="74"/>
      <c r="U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  <c r="IW2469" s="74"/>
      <c r="IX2469" s="74"/>
      <c r="IY2469" s="74"/>
      <c r="IZ2469" s="74"/>
      <c r="JA2469" s="74"/>
    </row>
    <row r="2470" spans="1:261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Q2470" s="74"/>
      <c r="R2470" s="74"/>
      <c r="S2470" s="74"/>
      <c r="T2470" s="74"/>
      <c r="U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  <c r="IW2470" s="74"/>
      <c r="IX2470" s="74"/>
      <c r="IY2470" s="74"/>
      <c r="IZ2470" s="74"/>
      <c r="JA2470" s="74"/>
    </row>
    <row r="2471" spans="1:261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Q2471" s="74"/>
      <c r="R2471" s="74"/>
      <c r="S2471" s="74"/>
      <c r="T2471" s="74"/>
      <c r="U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  <c r="IW2471" s="74"/>
      <c r="IX2471" s="74"/>
      <c r="IY2471" s="74"/>
      <c r="IZ2471" s="74"/>
      <c r="JA2471" s="74"/>
    </row>
    <row r="2472" spans="1:261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Q2472" s="74"/>
      <c r="R2472" s="74"/>
      <c r="S2472" s="74"/>
      <c r="T2472" s="74"/>
      <c r="U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  <c r="IW2472" s="74"/>
      <c r="IX2472" s="74"/>
      <c r="IY2472" s="74"/>
      <c r="IZ2472" s="74"/>
      <c r="JA2472" s="74"/>
    </row>
    <row r="2473" spans="1:261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Q2473" s="74"/>
      <c r="R2473" s="74"/>
      <c r="S2473" s="74"/>
      <c r="T2473" s="74"/>
      <c r="U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  <c r="IW2473" s="74"/>
      <c r="IX2473" s="74"/>
      <c r="IY2473" s="74"/>
      <c r="IZ2473" s="74"/>
      <c r="JA2473" s="74"/>
    </row>
    <row r="2474" spans="1:261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Q2474" s="74"/>
      <c r="R2474" s="74"/>
      <c r="S2474" s="74"/>
      <c r="T2474" s="74"/>
      <c r="U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  <c r="IW2474" s="74"/>
      <c r="IX2474" s="74"/>
      <c r="IY2474" s="74"/>
      <c r="IZ2474" s="74"/>
      <c r="JA2474" s="74"/>
    </row>
    <row r="2475" spans="1:261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Q2475" s="74"/>
      <c r="R2475" s="74"/>
      <c r="S2475" s="74"/>
      <c r="T2475" s="74"/>
      <c r="U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  <c r="IW2475" s="74"/>
      <c r="IX2475" s="74"/>
      <c r="IY2475" s="74"/>
      <c r="IZ2475" s="74"/>
      <c r="JA2475" s="74"/>
    </row>
    <row r="2476" spans="1:261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Q2476" s="74"/>
      <c r="R2476" s="74"/>
      <c r="S2476" s="74"/>
      <c r="T2476" s="74"/>
      <c r="U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  <c r="IW2476" s="74"/>
      <c r="IX2476" s="74"/>
      <c r="IY2476" s="74"/>
      <c r="IZ2476" s="74"/>
      <c r="JA2476" s="74"/>
    </row>
    <row r="2477" spans="1:261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Q2477" s="74"/>
      <c r="R2477" s="74"/>
      <c r="S2477" s="74"/>
      <c r="T2477" s="74"/>
      <c r="U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  <c r="IW2477" s="74"/>
      <c r="IX2477" s="74"/>
      <c r="IY2477" s="74"/>
      <c r="IZ2477" s="74"/>
      <c r="JA2477" s="74"/>
    </row>
    <row r="2478" spans="1:261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Q2478" s="74"/>
      <c r="R2478" s="74"/>
      <c r="S2478" s="74"/>
      <c r="T2478" s="74"/>
      <c r="U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  <c r="IW2478" s="74"/>
      <c r="IX2478" s="74"/>
      <c r="IY2478" s="74"/>
      <c r="IZ2478" s="74"/>
      <c r="JA2478" s="74"/>
    </row>
    <row r="2479" spans="1:261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Q2479" s="74"/>
      <c r="R2479" s="74"/>
      <c r="S2479" s="74"/>
      <c r="T2479" s="74"/>
      <c r="U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  <c r="IW2479" s="74"/>
      <c r="IX2479" s="74"/>
      <c r="IY2479" s="74"/>
      <c r="IZ2479" s="74"/>
      <c r="JA2479" s="74"/>
    </row>
    <row r="2480" spans="1:261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Q2480" s="74"/>
      <c r="R2480" s="74"/>
      <c r="S2480" s="74"/>
      <c r="T2480" s="74"/>
      <c r="U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  <c r="IW2480" s="74"/>
      <c r="IX2480" s="74"/>
      <c r="IY2480" s="74"/>
      <c r="IZ2480" s="74"/>
      <c r="JA2480" s="74"/>
    </row>
    <row r="2481" spans="1:261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Q2481" s="74"/>
      <c r="R2481" s="74"/>
      <c r="S2481" s="74"/>
      <c r="T2481" s="74"/>
      <c r="U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  <c r="IW2481" s="74"/>
      <c r="IX2481" s="74"/>
      <c r="IY2481" s="74"/>
      <c r="IZ2481" s="74"/>
      <c r="JA2481" s="74"/>
    </row>
    <row r="2482" spans="1:261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Q2482" s="74"/>
      <c r="R2482" s="74"/>
      <c r="S2482" s="74"/>
      <c r="T2482" s="74"/>
      <c r="U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  <c r="IW2482" s="74"/>
      <c r="IX2482" s="74"/>
      <c r="IY2482" s="74"/>
      <c r="IZ2482" s="74"/>
      <c r="JA2482" s="74"/>
    </row>
    <row r="2483" spans="1:261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Q2483" s="74"/>
      <c r="R2483" s="74"/>
      <c r="S2483" s="74"/>
      <c r="T2483" s="74"/>
      <c r="U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  <c r="IW2483" s="74"/>
      <c r="IX2483" s="74"/>
      <c r="IY2483" s="74"/>
      <c r="IZ2483" s="74"/>
      <c r="JA2483" s="74"/>
    </row>
    <row r="2484" spans="1:261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Q2484" s="74"/>
      <c r="R2484" s="74"/>
      <c r="S2484" s="74"/>
      <c r="T2484" s="74"/>
      <c r="U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  <c r="IW2484" s="74"/>
      <c r="IX2484" s="74"/>
      <c r="IY2484" s="74"/>
      <c r="IZ2484" s="74"/>
      <c r="JA2484" s="74"/>
    </row>
    <row r="2485" spans="1:261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Q2485" s="74"/>
      <c r="R2485" s="74"/>
      <c r="S2485" s="74"/>
      <c r="T2485" s="74"/>
      <c r="U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  <c r="IW2485" s="74"/>
      <c r="IX2485" s="74"/>
      <c r="IY2485" s="74"/>
      <c r="IZ2485" s="74"/>
      <c r="JA2485" s="74"/>
    </row>
    <row r="2486" spans="1:261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Q2486" s="74"/>
      <c r="R2486" s="74"/>
      <c r="S2486" s="74"/>
      <c r="T2486" s="74"/>
      <c r="U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  <c r="IW2486" s="74"/>
      <c r="IX2486" s="74"/>
      <c r="IY2486" s="74"/>
      <c r="IZ2486" s="74"/>
      <c r="JA2486" s="74"/>
    </row>
    <row r="2487" spans="1:261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Q2487" s="74"/>
      <c r="R2487" s="74"/>
      <c r="S2487" s="74"/>
      <c r="T2487" s="74"/>
      <c r="U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  <c r="IW2487" s="74"/>
      <c r="IX2487" s="74"/>
      <c r="IY2487" s="74"/>
      <c r="IZ2487" s="74"/>
      <c r="JA2487" s="74"/>
    </row>
    <row r="2488" spans="1:261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Q2488" s="74"/>
      <c r="R2488" s="74"/>
      <c r="S2488" s="74"/>
      <c r="T2488" s="74"/>
      <c r="U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  <c r="IW2488" s="74"/>
      <c r="IX2488" s="74"/>
      <c r="IY2488" s="74"/>
      <c r="IZ2488" s="74"/>
      <c r="JA2488" s="74"/>
    </row>
    <row r="2489" spans="1:261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Q2489" s="74"/>
      <c r="R2489" s="74"/>
      <c r="S2489" s="74"/>
      <c r="T2489" s="74"/>
      <c r="U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  <c r="IW2489" s="74"/>
      <c r="IX2489" s="74"/>
      <c r="IY2489" s="74"/>
      <c r="IZ2489" s="74"/>
      <c r="JA2489" s="74"/>
    </row>
    <row r="2490" spans="1:261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Q2490" s="74"/>
      <c r="R2490" s="74"/>
      <c r="S2490" s="74"/>
      <c r="T2490" s="74"/>
      <c r="U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  <c r="IW2490" s="74"/>
      <c r="IX2490" s="74"/>
      <c r="IY2490" s="74"/>
      <c r="IZ2490" s="74"/>
      <c r="JA2490" s="74"/>
    </row>
    <row r="2491" spans="1:261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Q2491" s="74"/>
      <c r="R2491" s="74"/>
      <c r="S2491" s="74"/>
      <c r="T2491" s="74"/>
      <c r="U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  <c r="IW2491" s="74"/>
      <c r="IX2491" s="74"/>
      <c r="IY2491" s="74"/>
      <c r="IZ2491" s="74"/>
      <c r="JA2491" s="74"/>
    </row>
    <row r="2492" spans="1:261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Q2492" s="74"/>
      <c r="R2492" s="74"/>
      <c r="S2492" s="74"/>
      <c r="T2492" s="74"/>
      <c r="U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  <c r="IW2492" s="74"/>
      <c r="IX2492" s="74"/>
      <c r="IY2492" s="74"/>
      <c r="IZ2492" s="74"/>
      <c r="JA2492" s="74"/>
    </row>
    <row r="2493" spans="1:261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Q2493" s="74"/>
      <c r="R2493" s="74"/>
      <c r="S2493" s="74"/>
      <c r="T2493" s="74"/>
      <c r="U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  <c r="IW2493" s="74"/>
      <c r="IX2493" s="74"/>
      <c r="IY2493" s="74"/>
      <c r="IZ2493" s="74"/>
      <c r="JA2493" s="74"/>
    </row>
    <row r="2494" spans="1:261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Q2494" s="74"/>
      <c r="R2494" s="74"/>
      <c r="S2494" s="74"/>
      <c r="T2494" s="74"/>
      <c r="U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  <c r="IW2494" s="74"/>
      <c r="IX2494" s="74"/>
      <c r="IY2494" s="74"/>
      <c r="IZ2494" s="74"/>
      <c r="JA2494" s="74"/>
    </row>
    <row r="2495" spans="1:261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Q2495" s="74"/>
      <c r="R2495" s="74"/>
      <c r="S2495" s="74"/>
      <c r="T2495" s="74"/>
      <c r="U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  <c r="IW2495" s="74"/>
      <c r="IX2495" s="74"/>
      <c r="IY2495" s="74"/>
      <c r="IZ2495" s="74"/>
      <c r="JA2495" s="74"/>
    </row>
    <row r="2496" spans="1:261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Q2496" s="74"/>
      <c r="R2496" s="74"/>
      <c r="S2496" s="74"/>
      <c r="T2496" s="74"/>
      <c r="U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  <c r="IW2496" s="74"/>
      <c r="IX2496" s="74"/>
      <c r="IY2496" s="74"/>
      <c r="IZ2496" s="74"/>
      <c r="JA2496" s="74"/>
    </row>
    <row r="2497" spans="1:261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Q2497" s="74"/>
      <c r="R2497" s="74"/>
      <c r="S2497" s="74"/>
      <c r="T2497" s="74"/>
      <c r="U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  <c r="IW2497" s="74"/>
      <c r="IX2497" s="74"/>
      <c r="IY2497" s="74"/>
      <c r="IZ2497" s="74"/>
      <c r="JA2497" s="74"/>
    </row>
    <row r="2498" spans="1:261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Q2498" s="74"/>
      <c r="R2498" s="74"/>
      <c r="S2498" s="74"/>
      <c r="T2498" s="74"/>
      <c r="U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  <c r="IW2498" s="74"/>
      <c r="IX2498" s="74"/>
      <c r="IY2498" s="74"/>
      <c r="IZ2498" s="74"/>
      <c r="JA2498" s="74"/>
    </row>
    <row r="2499" spans="1:261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Q2499" s="74"/>
      <c r="R2499" s="74"/>
      <c r="S2499" s="74"/>
      <c r="T2499" s="74"/>
      <c r="U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  <c r="IW2499" s="74"/>
      <c r="IX2499" s="74"/>
      <c r="IY2499" s="74"/>
      <c r="IZ2499" s="74"/>
      <c r="JA2499" s="74"/>
    </row>
    <row r="2500" spans="1:261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Q2500" s="74"/>
      <c r="R2500" s="74"/>
      <c r="S2500" s="74"/>
      <c r="T2500" s="74"/>
      <c r="U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  <c r="IW2500" s="74"/>
      <c r="IX2500" s="74"/>
      <c r="IY2500" s="74"/>
      <c r="IZ2500" s="74"/>
      <c r="JA2500" s="74"/>
    </row>
    <row r="2501" spans="1:261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Q2501" s="74"/>
      <c r="R2501" s="74"/>
      <c r="S2501" s="74"/>
      <c r="T2501" s="74"/>
      <c r="U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  <c r="IW2501" s="74"/>
      <c r="IX2501" s="74"/>
      <c r="IY2501" s="74"/>
      <c r="IZ2501" s="74"/>
      <c r="JA2501" s="74"/>
    </row>
    <row r="2502" spans="1:261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Q2502" s="74"/>
      <c r="R2502" s="74"/>
      <c r="S2502" s="74"/>
      <c r="T2502" s="74"/>
      <c r="U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  <c r="IW2502" s="74"/>
      <c r="IX2502" s="74"/>
      <c r="IY2502" s="74"/>
      <c r="IZ2502" s="74"/>
      <c r="JA2502" s="74"/>
    </row>
    <row r="2503" spans="1:261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Q2503" s="74"/>
      <c r="R2503" s="74"/>
      <c r="S2503" s="74"/>
      <c r="T2503" s="74"/>
      <c r="U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  <c r="IW2503" s="74"/>
      <c r="IX2503" s="74"/>
      <c r="IY2503" s="74"/>
      <c r="IZ2503" s="74"/>
      <c r="JA2503" s="74"/>
    </row>
    <row r="2504" spans="1:261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Q2504" s="74"/>
      <c r="R2504" s="74"/>
      <c r="S2504" s="74"/>
      <c r="T2504" s="74"/>
      <c r="U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  <c r="IW2504" s="74"/>
      <c r="IX2504" s="74"/>
      <c r="IY2504" s="74"/>
      <c r="IZ2504" s="74"/>
      <c r="JA2504" s="74"/>
    </row>
    <row r="2505" spans="1:261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Q2505" s="74"/>
      <c r="R2505" s="74"/>
      <c r="S2505" s="74"/>
      <c r="T2505" s="74"/>
      <c r="U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  <c r="IW2505" s="74"/>
      <c r="IX2505" s="74"/>
      <c r="IY2505" s="74"/>
      <c r="IZ2505" s="74"/>
      <c r="JA2505" s="74"/>
    </row>
    <row r="2506" spans="1:261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Q2506" s="74"/>
      <c r="R2506" s="74"/>
      <c r="S2506" s="74"/>
      <c r="T2506" s="74"/>
      <c r="U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  <c r="IW2506" s="74"/>
      <c r="IX2506" s="74"/>
      <c r="IY2506" s="74"/>
      <c r="IZ2506" s="74"/>
      <c r="JA2506" s="74"/>
    </row>
    <row r="2507" spans="1:261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Q2507" s="74"/>
      <c r="R2507" s="74"/>
      <c r="S2507" s="74"/>
      <c r="T2507" s="74"/>
      <c r="U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  <c r="IW2507" s="74"/>
      <c r="IX2507" s="74"/>
      <c r="IY2507" s="74"/>
      <c r="IZ2507" s="74"/>
      <c r="JA2507" s="74"/>
    </row>
    <row r="2508" spans="1:261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Q2508" s="74"/>
      <c r="R2508" s="74"/>
      <c r="S2508" s="74"/>
      <c r="T2508" s="74"/>
      <c r="U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  <c r="IW2508" s="74"/>
      <c r="IX2508" s="74"/>
      <c r="IY2508" s="74"/>
      <c r="IZ2508" s="74"/>
      <c r="JA2508" s="74"/>
    </row>
    <row r="2509" spans="1:261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Q2509" s="74"/>
      <c r="R2509" s="74"/>
      <c r="S2509" s="74"/>
      <c r="T2509" s="74"/>
      <c r="U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  <c r="IW2509" s="74"/>
      <c r="IX2509" s="74"/>
      <c r="IY2509" s="74"/>
      <c r="IZ2509" s="74"/>
      <c r="JA2509" s="74"/>
    </row>
    <row r="2510" spans="1:261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Q2510" s="74"/>
      <c r="R2510" s="74"/>
      <c r="S2510" s="74"/>
      <c r="T2510" s="74"/>
      <c r="U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  <c r="IW2510" s="74"/>
      <c r="IX2510" s="74"/>
      <c r="IY2510" s="74"/>
      <c r="IZ2510" s="74"/>
      <c r="JA2510" s="74"/>
    </row>
    <row r="2511" spans="1:261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Q2511" s="74"/>
      <c r="R2511" s="74"/>
      <c r="S2511" s="74"/>
      <c r="T2511" s="74"/>
      <c r="U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  <c r="IW2511" s="74"/>
      <c r="IX2511" s="74"/>
      <c r="IY2511" s="74"/>
      <c r="IZ2511" s="74"/>
      <c r="JA2511" s="74"/>
    </row>
    <row r="2512" spans="1:261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Q2512" s="74"/>
      <c r="R2512" s="74"/>
      <c r="S2512" s="74"/>
      <c r="T2512" s="74"/>
      <c r="U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  <c r="IW2512" s="74"/>
      <c r="IX2512" s="74"/>
      <c r="IY2512" s="74"/>
      <c r="IZ2512" s="74"/>
      <c r="JA2512" s="74"/>
    </row>
    <row r="2513" spans="1:261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Q2513" s="74"/>
      <c r="R2513" s="74"/>
      <c r="S2513" s="74"/>
      <c r="T2513" s="74"/>
      <c r="U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  <c r="IW2513" s="74"/>
      <c r="IX2513" s="74"/>
      <c r="IY2513" s="74"/>
      <c r="IZ2513" s="74"/>
      <c r="JA2513" s="74"/>
    </row>
    <row r="2514" spans="1:261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Q2514" s="74"/>
      <c r="R2514" s="74"/>
      <c r="S2514" s="74"/>
      <c r="T2514" s="74"/>
      <c r="U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  <c r="IW2514" s="74"/>
      <c r="IX2514" s="74"/>
      <c r="IY2514" s="74"/>
      <c r="IZ2514" s="74"/>
      <c r="JA2514" s="74"/>
    </row>
    <row r="2515" spans="1:261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Q2515" s="74"/>
      <c r="R2515" s="74"/>
      <c r="S2515" s="74"/>
      <c r="T2515" s="74"/>
      <c r="U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  <c r="IW2515" s="74"/>
      <c r="IX2515" s="74"/>
      <c r="IY2515" s="74"/>
      <c r="IZ2515" s="74"/>
      <c r="JA2515" s="74"/>
    </row>
    <row r="2516" spans="1:261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Q2516" s="74"/>
      <c r="R2516" s="74"/>
      <c r="S2516" s="74"/>
      <c r="T2516" s="74"/>
      <c r="U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  <c r="IW2516" s="74"/>
      <c r="IX2516" s="74"/>
      <c r="IY2516" s="74"/>
      <c r="IZ2516" s="74"/>
      <c r="JA2516" s="74"/>
    </row>
    <row r="2517" spans="1:261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Q2517" s="74"/>
      <c r="R2517" s="74"/>
      <c r="S2517" s="74"/>
      <c r="T2517" s="74"/>
      <c r="U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  <c r="IW2517" s="74"/>
      <c r="IX2517" s="74"/>
      <c r="IY2517" s="74"/>
      <c r="IZ2517" s="74"/>
      <c r="JA2517" s="74"/>
    </row>
    <row r="2518" spans="1:261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Q2518" s="74"/>
      <c r="R2518" s="74"/>
      <c r="S2518" s="74"/>
      <c r="T2518" s="74"/>
      <c r="U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  <c r="IW2518" s="74"/>
      <c r="IX2518" s="74"/>
      <c r="IY2518" s="74"/>
      <c r="IZ2518" s="74"/>
      <c r="JA2518" s="74"/>
    </row>
    <row r="2519" spans="1:261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Q2519" s="74"/>
      <c r="R2519" s="74"/>
      <c r="S2519" s="74"/>
      <c r="T2519" s="74"/>
      <c r="U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  <c r="IW2519" s="74"/>
      <c r="IX2519" s="74"/>
      <c r="IY2519" s="74"/>
      <c r="IZ2519" s="74"/>
      <c r="JA2519" s="74"/>
    </row>
    <row r="2520" spans="1:261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Q2520" s="74"/>
      <c r="R2520" s="74"/>
      <c r="S2520" s="74"/>
      <c r="T2520" s="74"/>
      <c r="U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  <c r="IW2520" s="74"/>
      <c r="IX2520" s="74"/>
      <c r="IY2520" s="74"/>
      <c r="IZ2520" s="74"/>
      <c r="JA2520" s="74"/>
    </row>
    <row r="2521" spans="1:261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Q2521" s="74"/>
      <c r="R2521" s="74"/>
      <c r="S2521" s="74"/>
      <c r="T2521" s="74"/>
      <c r="U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  <c r="IW2521" s="74"/>
      <c r="IX2521" s="74"/>
      <c r="IY2521" s="74"/>
      <c r="IZ2521" s="74"/>
      <c r="JA2521" s="74"/>
    </row>
    <row r="2522" spans="1:261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Q2522" s="74"/>
      <c r="R2522" s="74"/>
      <c r="S2522" s="74"/>
      <c r="T2522" s="74"/>
      <c r="U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  <c r="IW2522" s="74"/>
      <c r="IX2522" s="74"/>
      <c r="IY2522" s="74"/>
      <c r="IZ2522" s="74"/>
      <c r="JA2522" s="74"/>
    </row>
    <row r="2523" spans="1:261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Q2523" s="74"/>
      <c r="R2523" s="74"/>
      <c r="S2523" s="74"/>
      <c r="T2523" s="74"/>
      <c r="U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  <c r="IW2523" s="74"/>
      <c r="IX2523" s="74"/>
      <c r="IY2523" s="74"/>
      <c r="IZ2523" s="74"/>
      <c r="JA2523" s="74"/>
    </row>
    <row r="2524" spans="1:261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Q2524" s="74"/>
      <c r="R2524" s="74"/>
      <c r="S2524" s="74"/>
      <c r="T2524" s="74"/>
      <c r="U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  <c r="IW2524" s="74"/>
      <c r="IX2524" s="74"/>
      <c r="IY2524" s="74"/>
      <c r="IZ2524" s="74"/>
      <c r="JA2524" s="74"/>
    </row>
    <row r="2525" spans="1:261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Q2525" s="74"/>
      <c r="R2525" s="74"/>
      <c r="S2525" s="74"/>
      <c r="T2525" s="74"/>
      <c r="U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  <c r="IW2525" s="74"/>
      <c r="IX2525" s="74"/>
      <c r="IY2525" s="74"/>
      <c r="IZ2525" s="74"/>
      <c r="JA2525" s="74"/>
    </row>
    <row r="2526" spans="1:261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74"/>
      <c r="R2526" s="74"/>
      <c r="S2526" s="74"/>
      <c r="T2526" s="74"/>
      <c r="U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  <c r="IW2526" s="74"/>
      <c r="IX2526" s="74"/>
      <c r="IY2526" s="74"/>
      <c r="IZ2526" s="74"/>
      <c r="JA2526" s="74"/>
    </row>
    <row r="2527" spans="1:261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Q2527" s="74"/>
      <c r="R2527" s="74"/>
      <c r="S2527" s="74"/>
      <c r="T2527" s="74"/>
      <c r="U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  <c r="IW2527" s="74"/>
      <c r="IX2527" s="74"/>
      <c r="IY2527" s="74"/>
      <c r="IZ2527" s="74"/>
      <c r="JA2527" s="74"/>
    </row>
    <row r="2528" spans="1:261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Q2528" s="74"/>
      <c r="R2528" s="74"/>
      <c r="S2528" s="74"/>
      <c r="T2528" s="74"/>
      <c r="U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  <c r="IW2528" s="74"/>
      <c r="IX2528" s="74"/>
      <c r="IY2528" s="74"/>
      <c r="IZ2528" s="74"/>
      <c r="JA2528" s="74"/>
    </row>
    <row r="2529" spans="1:261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Q2529" s="74"/>
      <c r="R2529" s="74"/>
      <c r="S2529" s="74"/>
      <c r="T2529" s="74"/>
      <c r="U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  <c r="IW2529" s="74"/>
      <c r="IX2529" s="74"/>
      <c r="IY2529" s="74"/>
      <c r="IZ2529" s="74"/>
      <c r="JA2529" s="74"/>
    </row>
    <row r="2530" spans="1:261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Q2530" s="74"/>
      <c r="R2530" s="74"/>
      <c r="S2530" s="74"/>
      <c r="T2530" s="74"/>
      <c r="U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  <c r="IW2530" s="74"/>
      <c r="IX2530" s="74"/>
      <c r="IY2530" s="74"/>
      <c r="IZ2530" s="74"/>
      <c r="JA2530" s="74"/>
    </row>
    <row r="2531" spans="1:261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Q2531" s="74"/>
      <c r="R2531" s="74"/>
      <c r="S2531" s="74"/>
      <c r="T2531" s="74"/>
      <c r="U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  <c r="IW2531" s="74"/>
      <c r="IX2531" s="74"/>
      <c r="IY2531" s="74"/>
      <c r="IZ2531" s="74"/>
      <c r="JA2531" s="74"/>
    </row>
    <row r="2532" spans="1:261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Q2532" s="74"/>
      <c r="R2532" s="74"/>
      <c r="S2532" s="74"/>
      <c r="T2532" s="74"/>
      <c r="U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  <c r="IW2532" s="74"/>
      <c r="IX2532" s="74"/>
      <c r="IY2532" s="74"/>
      <c r="IZ2532" s="74"/>
      <c r="JA2532" s="74"/>
    </row>
    <row r="2533" spans="1:261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Q2533" s="74"/>
      <c r="R2533" s="74"/>
      <c r="S2533" s="74"/>
      <c r="T2533" s="74"/>
      <c r="U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  <c r="IW2533" s="74"/>
      <c r="IX2533" s="74"/>
      <c r="IY2533" s="74"/>
      <c r="IZ2533" s="74"/>
      <c r="JA2533" s="74"/>
    </row>
    <row r="2534" spans="1:261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Q2534" s="74"/>
      <c r="R2534" s="74"/>
      <c r="S2534" s="74"/>
      <c r="T2534" s="74"/>
      <c r="U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  <c r="IW2534" s="74"/>
      <c r="IX2534" s="74"/>
      <c r="IY2534" s="74"/>
      <c r="IZ2534" s="74"/>
      <c r="JA2534" s="74"/>
    </row>
    <row r="2535" spans="1:261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Q2535" s="74"/>
      <c r="R2535" s="74"/>
      <c r="S2535" s="74"/>
      <c r="T2535" s="74"/>
      <c r="U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  <c r="IW2535" s="74"/>
      <c r="IX2535" s="74"/>
      <c r="IY2535" s="74"/>
      <c r="IZ2535" s="74"/>
      <c r="JA2535" s="74"/>
    </row>
    <row r="2536" spans="1:261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Q2536" s="74"/>
      <c r="R2536" s="74"/>
      <c r="S2536" s="74"/>
      <c r="T2536" s="74"/>
      <c r="U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  <c r="IW2536" s="74"/>
      <c r="IX2536" s="74"/>
      <c r="IY2536" s="74"/>
      <c r="IZ2536" s="74"/>
      <c r="JA2536" s="74"/>
    </row>
    <row r="2537" spans="1:261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Q2537" s="74"/>
      <c r="R2537" s="74"/>
      <c r="S2537" s="74"/>
      <c r="T2537" s="74"/>
      <c r="U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  <c r="IW2537" s="74"/>
      <c r="IX2537" s="74"/>
      <c r="IY2537" s="74"/>
      <c r="IZ2537" s="74"/>
      <c r="JA2537" s="74"/>
    </row>
    <row r="2538" spans="1:261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Q2538" s="74"/>
      <c r="R2538" s="74"/>
      <c r="S2538" s="74"/>
      <c r="T2538" s="74"/>
      <c r="U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  <c r="IW2538" s="74"/>
      <c r="IX2538" s="74"/>
      <c r="IY2538" s="74"/>
      <c r="IZ2538" s="74"/>
      <c r="JA2538" s="74"/>
    </row>
    <row r="2539" spans="1:261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Q2539" s="74"/>
      <c r="R2539" s="74"/>
      <c r="S2539" s="74"/>
      <c r="T2539" s="74"/>
      <c r="U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  <c r="IW2539" s="74"/>
      <c r="IX2539" s="74"/>
      <c r="IY2539" s="74"/>
      <c r="IZ2539" s="74"/>
      <c r="JA2539" s="74"/>
    </row>
    <row r="2540" spans="1:261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Q2540" s="74"/>
      <c r="R2540" s="74"/>
      <c r="S2540" s="74"/>
      <c r="T2540" s="74"/>
      <c r="U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  <c r="IW2540" s="74"/>
      <c r="IX2540" s="74"/>
      <c r="IY2540" s="74"/>
      <c r="IZ2540" s="74"/>
      <c r="JA2540" s="74"/>
    </row>
    <row r="2541" spans="1:261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Q2541" s="74"/>
      <c r="R2541" s="74"/>
      <c r="S2541" s="74"/>
      <c r="T2541" s="74"/>
      <c r="U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  <c r="IW2541" s="74"/>
      <c r="IX2541" s="74"/>
      <c r="IY2541" s="74"/>
      <c r="IZ2541" s="74"/>
      <c r="JA2541" s="74"/>
    </row>
    <row r="2542" spans="1:261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Q2542" s="74"/>
      <c r="R2542" s="74"/>
      <c r="S2542" s="74"/>
      <c r="T2542" s="74"/>
      <c r="U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  <c r="IW2542" s="74"/>
      <c r="IX2542" s="74"/>
      <c r="IY2542" s="74"/>
      <c r="IZ2542" s="74"/>
      <c r="JA2542" s="74"/>
    </row>
    <row r="2543" spans="1:261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Q2543" s="74"/>
      <c r="R2543" s="74"/>
      <c r="S2543" s="74"/>
      <c r="T2543" s="74"/>
      <c r="U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  <c r="IW2543" s="74"/>
      <c r="IX2543" s="74"/>
      <c r="IY2543" s="74"/>
      <c r="IZ2543" s="74"/>
      <c r="JA2543" s="74"/>
    </row>
    <row r="2544" spans="1:261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Q2544" s="74"/>
      <c r="R2544" s="74"/>
      <c r="S2544" s="74"/>
      <c r="T2544" s="74"/>
      <c r="U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  <c r="IW2544" s="74"/>
      <c r="IX2544" s="74"/>
      <c r="IY2544" s="74"/>
      <c r="IZ2544" s="74"/>
      <c r="JA2544" s="74"/>
    </row>
    <row r="2545" spans="1:261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Q2545" s="74"/>
      <c r="R2545" s="74"/>
      <c r="S2545" s="74"/>
      <c r="T2545" s="74"/>
      <c r="U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  <c r="IW2545" s="74"/>
      <c r="IX2545" s="74"/>
      <c r="IY2545" s="74"/>
      <c r="IZ2545" s="74"/>
      <c r="JA2545" s="74"/>
    </row>
    <row r="2546" spans="1:261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Q2546" s="74"/>
      <c r="R2546" s="74"/>
      <c r="S2546" s="74"/>
      <c r="T2546" s="74"/>
      <c r="U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  <c r="IW2546" s="74"/>
      <c r="IX2546" s="74"/>
      <c r="IY2546" s="74"/>
      <c r="IZ2546" s="74"/>
      <c r="JA2546" s="74"/>
    </row>
    <row r="2547" spans="1:261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Q2547" s="74"/>
      <c r="R2547" s="74"/>
      <c r="S2547" s="74"/>
      <c r="T2547" s="74"/>
      <c r="U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  <c r="IW2547" s="74"/>
      <c r="IX2547" s="74"/>
      <c r="IY2547" s="74"/>
      <c r="IZ2547" s="74"/>
      <c r="JA2547" s="74"/>
    </row>
    <row r="2548" spans="1:261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Q2548" s="74"/>
      <c r="R2548" s="74"/>
      <c r="S2548" s="74"/>
      <c r="T2548" s="74"/>
      <c r="U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  <c r="IW2548" s="74"/>
      <c r="IX2548" s="74"/>
      <c r="IY2548" s="74"/>
      <c r="IZ2548" s="74"/>
      <c r="JA2548" s="74"/>
    </row>
    <row r="2549" spans="1:261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Q2549" s="74"/>
      <c r="R2549" s="74"/>
      <c r="S2549" s="74"/>
      <c r="T2549" s="74"/>
      <c r="U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  <c r="IW2549" s="74"/>
      <c r="IX2549" s="74"/>
      <c r="IY2549" s="74"/>
      <c r="IZ2549" s="74"/>
      <c r="JA2549" s="74"/>
    </row>
    <row r="2550" spans="1:261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Q2550" s="74"/>
      <c r="R2550" s="74"/>
      <c r="S2550" s="74"/>
      <c r="T2550" s="74"/>
      <c r="U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  <c r="IW2550" s="74"/>
      <c r="IX2550" s="74"/>
      <c r="IY2550" s="74"/>
      <c r="IZ2550" s="74"/>
      <c r="JA2550" s="74"/>
    </row>
    <row r="2551" spans="1:261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Q2551" s="74"/>
      <c r="R2551" s="74"/>
      <c r="S2551" s="74"/>
      <c r="T2551" s="74"/>
      <c r="U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  <c r="IW2551" s="74"/>
      <c r="IX2551" s="74"/>
      <c r="IY2551" s="74"/>
      <c r="IZ2551" s="74"/>
      <c r="JA2551" s="74"/>
    </row>
    <row r="2552" spans="1:261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Q2552" s="74"/>
      <c r="R2552" s="74"/>
      <c r="S2552" s="74"/>
      <c r="T2552" s="74"/>
      <c r="U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  <c r="IW2552" s="74"/>
      <c r="IX2552" s="74"/>
      <c r="IY2552" s="74"/>
      <c r="IZ2552" s="74"/>
      <c r="JA2552" s="74"/>
    </row>
    <row r="2553" spans="1:261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Q2553" s="74"/>
      <c r="R2553" s="74"/>
      <c r="S2553" s="74"/>
      <c r="T2553" s="74"/>
      <c r="U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  <c r="IW2553" s="74"/>
      <c r="IX2553" s="74"/>
      <c r="IY2553" s="74"/>
      <c r="IZ2553" s="74"/>
      <c r="JA2553" s="74"/>
    </row>
    <row r="2554" spans="1:261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Q2554" s="74"/>
      <c r="R2554" s="74"/>
      <c r="S2554" s="74"/>
      <c r="T2554" s="74"/>
      <c r="U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  <c r="IW2554" s="74"/>
      <c r="IX2554" s="74"/>
      <c r="IY2554" s="74"/>
      <c r="IZ2554" s="74"/>
      <c r="JA2554" s="74"/>
    </row>
    <row r="2555" spans="1:261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Q2555" s="74"/>
      <c r="R2555" s="74"/>
      <c r="S2555" s="74"/>
      <c r="T2555" s="74"/>
      <c r="U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  <c r="IW2555" s="74"/>
      <c r="IX2555" s="74"/>
      <c r="IY2555" s="74"/>
      <c r="IZ2555" s="74"/>
      <c r="JA2555" s="74"/>
    </row>
    <row r="2556" spans="1:261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Q2556" s="74"/>
      <c r="R2556" s="74"/>
      <c r="S2556" s="74"/>
      <c r="T2556" s="74"/>
      <c r="U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  <c r="IW2556" s="74"/>
      <c r="IX2556" s="74"/>
      <c r="IY2556" s="74"/>
      <c r="IZ2556" s="74"/>
      <c r="JA2556" s="74"/>
    </row>
    <row r="2557" spans="1:261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Q2557" s="74"/>
      <c r="R2557" s="74"/>
      <c r="S2557" s="74"/>
      <c r="T2557" s="74"/>
      <c r="U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  <c r="IW2557" s="74"/>
      <c r="IX2557" s="74"/>
      <c r="IY2557" s="74"/>
      <c r="IZ2557" s="74"/>
      <c r="JA2557" s="74"/>
    </row>
    <row r="2558" spans="1:261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Q2558" s="74"/>
      <c r="R2558" s="74"/>
      <c r="S2558" s="74"/>
      <c r="T2558" s="74"/>
      <c r="U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  <c r="IW2558" s="74"/>
      <c r="IX2558" s="74"/>
      <c r="IY2558" s="74"/>
      <c r="IZ2558" s="74"/>
      <c r="JA2558" s="74"/>
    </row>
    <row r="2559" spans="1:261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Q2559" s="74"/>
      <c r="R2559" s="74"/>
      <c r="S2559" s="74"/>
      <c r="T2559" s="74"/>
      <c r="U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  <c r="IW2559" s="74"/>
      <c r="IX2559" s="74"/>
      <c r="IY2559" s="74"/>
      <c r="IZ2559" s="74"/>
      <c r="JA2559" s="74"/>
    </row>
    <row r="2560" spans="1:261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Q2560" s="74"/>
      <c r="R2560" s="74"/>
      <c r="S2560" s="74"/>
      <c r="T2560" s="74"/>
      <c r="U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  <c r="IW2560" s="74"/>
      <c r="IX2560" s="74"/>
      <c r="IY2560" s="74"/>
      <c r="IZ2560" s="74"/>
      <c r="JA2560" s="74"/>
    </row>
    <row r="2561" spans="1:261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Q2561" s="74"/>
      <c r="R2561" s="74"/>
      <c r="S2561" s="74"/>
      <c r="T2561" s="74"/>
      <c r="U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  <c r="IW2561" s="74"/>
      <c r="IX2561" s="74"/>
      <c r="IY2561" s="74"/>
      <c r="IZ2561" s="74"/>
      <c r="JA2561" s="74"/>
    </row>
    <row r="2562" spans="1:261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Q2562" s="74"/>
      <c r="R2562" s="74"/>
      <c r="S2562" s="74"/>
      <c r="T2562" s="74"/>
      <c r="U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  <c r="IW2562" s="74"/>
      <c r="IX2562" s="74"/>
      <c r="IY2562" s="74"/>
      <c r="IZ2562" s="74"/>
      <c r="JA2562" s="74"/>
    </row>
    <row r="2563" spans="1:261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Q2563" s="74"/>
      <c r="R2563" s="74"/>
      <c r="S2563" s="74"/>
      <c r="T2563" s="74"/>
      <c r="U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  <c r="IW2563" s="74"/>
      <c r="IX2563" s="74"/>
      <c r="IY2563" s="74"/>
      <c r="IZ2563" s="74"/>
      <c r="JA2563" s="74"/>
    </row>
    <row r="2564" spans="1:261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Q2564" s="74"/>
      <c r="R2564" s="74"/>
      <c r="S2564" s="74"/>
      <c r="T2564" s="74"/>
      <c r="U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  <c r="IW2564" s="74"/>
      <c r="IX2564" s="74"/>
      <c r="IY2564" s="74"/>
      <c r="IZ2564" s="74"/>
      <c r="JA2564" s="74"/>
    </row>
    <row r="2565" spans="1:261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Q2565" s="74"/>
      <c r="R2565" s="74"/>
      <c r="S2565" s="74"/>
      <c r="T2565" s="74"/>
      <c r="U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  <c r="IW2565" s="74"/>
      <c r="IX2565" s="74"/>
      <c r="IY2565" s="74"/>
      <c r="IZ2565" s="74"/>
      <c r="JA2565" s="74"/>
    </row>
    <row r="2566" spans="1:261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Q2566" s="74"/>
      <c r="R2566" s="74"/>
      <c r="S2566" s="74"/>
      <c r="T2566" s="74"/>
      <c r="U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  <c r="IW2566" s="74"/>
      <c r="IX2566" s="74"/>
      <c r="IY2566" s="74"/>
      <c r="IZ2566" s="74"/>
      <c r="JA2566" s="74"/>
    </row>
    <row r="2567" spans="1:261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Q2567" s="74"/>
      <c r="R2567" s="74"/>
      <c r="S2567" s="74"/>
      <c r="T2567" s="74"/>
      <c r="U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  <c r="IW2567" s="74"/>
      <c r="IX2567" s="74"/>
      <c r="IY2567" s="74"/>
      <c r="IZ2567" s="74"/>
      <c r="JA2567" s="74"/>
    </row>
    <row r="2568" spans="1:261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Q2568" s="74"/>
      <c r="R2568" s="74"/>
      <c r="S2568" s="74"/>
      <c r="T2568" s="74"/>
      <c r="U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  <c r="IW2568" s="74"/>
      <c r="IX2568" s="74"/>
      <c r="IY2568" s="74"/>
      <c r="IZ2568" s="74"/>
      <c r="JA2568" s="74"/>
    </row>
    <row r="2569" spans="1:261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Q2569" s="74"/>
      <c r="R2569" s="74"/>
      <c r="S2569" s="74"/>
      <c r="T2569" s="74"/>
      <c r="U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  <c r="IW2569" s="74"/>
      <c r="IX2569" s="74"/>
      <c r="IY2569" s="74"/>
      <c r="IZ2569" s="74"/>
      <c r="JA2569" s="74"/>
    </row>
    <row r="2570" spans="1:261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Q2570" s="74"/>
      <c r="R2570" s="74"/>
      <c r="S2570" s="74"/>
      <c r="T2570" s="74"/>
      <c r="U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  <c r="IW2570" s="74"/>
      <c r="IX2570" s="74"/>
      <c r="IY2570" s="74"/>
      <c r="IZ2570" s="74"/>
      <c r="JA2570" s="74"/>
    </row>
    <row r="2571" spans="1:261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Q2571" s="74"/>
      <c r="R2571" s="74"/>
      <c r="S2571" s="74"/>
      <c r="T2571" s="74"/>
      <c r="U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  <c r="IW2571" s="74"/>
      <c r="IX2571" s="74"/>
      <c r="IY2571" s="74"/>
      <c r="IZ2571" s="74"/>
      <c r="JA2571" s="74"/>
    </row>
    <row r="2572" spans="1:261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Q2572" s="74"/>
      <c r="R2572" s="74"/>
      <c r="S2572" s="74"/>
      <c r="T2572" s="74"/>
      <c r="U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  <c r="IW2572" s="74"/>
      <c r="IX2572" s="74"/>
      <c r="IY2572" s="74"/>
      <c r="IZ2572" s="74"/>
      <c r="JA2572" s="74"/>
    </row>
    <row r="2573" spans="1:261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Q2573" s="74"/>
      <c r="R2573" s="74"/>
      <c r="S2573" s="74"/>
      <c r="T2573" s="74"/>
      <c r="U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  <c r="IW2573" s="74"/>
      <c r="IX2573" s="74"/>
      <c r="IY2573" s="74"/>
      <c r="IZ2573" s="74"/>
      <c r="JA2573" s="74"/>
    </row>
    <row r="2574" spans="1:261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Q2574" s="74"/>
      <c r="R2574" s="74"/>
      <c r="S2574" s="74"/>
      <c r="T2574" s="74"/>
      <c r="U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  <c r="IW2574" s="74"/>
      <c r="IX2574" s="74"/>
      <c r="IY2574" s="74"/>
      <c r="IZ2574" s="74"/>
      <c r="JA2574" s="74"/>
    </row>
    <row r="2575" spans="1:261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Q2575" s="74"/>
      <c r="R2575" s="74"/>
      <c r="S2575" s="74"/>
      <c r="T2575" s="74"/>
      <c r="U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  <c r="IW2575" s="74"/>
      <c r="IX2575" s="74"/>
      <c r="IY2575" s="74"/>
      <c r="IZ2575" s="74"/>
      <c r="JA2575" s="74"/>
    </row>
    <row r="2576" spans="1:261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Q2576" s="74"/>
      <c r="R2576" s="74"/>
      <c r="S2576" s="74"/>
      <c r="T2576" s="74"/>
      <c r="U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  <c r="IW2576" s="74"/>
      <c r="IX2576" s="74"/>
      <c r="IY2576" s="74"/>
      <c r="IZ2576" s="74"/>
      <c r="JA2576" s="74"/>
    </row>
    <row r="2577" spans="1:261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Q2577" s="74"/>
      <c r="R2577" s="74"/>
      <c r="S2577" s="74"/>
      <c r="T2577" s="74"/>
      <c r="U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  <c r="IW2577" s="74"/>
      <c r="IX2577" s="74"/>
      <c r="IY2577" s="74"/>
      <c r="IZ2577" s="74"/>
      <c r="JA2577" s="74"/>
    </row>
    <row r="2578" spans="1:261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Q2578" s="74"/>
      <c r="R2578" s="74"/>
      <c r="S2578" s="74"/>
      <c r="T2578" s="74"/>
      <c r="U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  <c r="IW2578" s="74"/>
      <c r="IX2578" s="74"/>
      <c r="IY2578" s="74"/>
      <c r="IZ2578" s="74"/>
      <c r="JA2578" s="74"/>
    </row>
    <row r="2579" spans="1:261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Q2579" s="74"/>
      <c r="R2579" s="74"/>
      <c r="S2579" s="74"/>
      <c r="T2579" s="74"/>
      <c r="U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  <c r="IW2579" s="74"/>
      <c r="IX2579" s="74"/>
      <c r="IY2579" s="74"/>
      <c r="IZ2579" s="74"/>
      <c r="JA2579" s="74"/>
    </row>
    <row r="2580" spans="1:261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Q2580" s="74"/>
      <c r="R2580" s="74"/>
      <c r="S2580" s="74"/>
      <c r="T2580" s="74"/>
      <c r="U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  <c r="IW2580" s="74"/>
      <c r="IX2580" s="74"/>
      <c r="IY2580" s="74"/>
      <c r="IZ2580" s="74"/>
      <c r="JA2580" s="74"/>
    </row>
    <row r="2581" spans="1:261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Q2581" s="74"/>
      <c r="R2581" s="74"/>
      <c r="S2581" s="74"/>
      <c r="T2581" s="74"/>
      <c r="U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  <c r="IW2581" s="74"/>
      <c r="IX2581" s="74"/>
      <c r="IY2581" s="74"/>
      <c r="IZ2581" s="74"/>
      <c r="JA2581" s="74"/>
    </row>
    <row r="2582" spans="1:261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Q2582" s="74"/>
      <c r="R2582" s="74"/>
      <c r="S2582" s="74"/>
      <c r="T2582" s="74"/>
      <c r="U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  <c r="IW2582" s="74"/>
      <c r="IX2582" s="74"/>
      <c r="IY2582" s="74"/>
      <c r="IZ2582" s="74"/>
      <c r="JA2582" s="74"/>
    </row>
    <row r="2583" spans="1:261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Q2583" s="74"/>
      <c r="R2583" s="74"/>
      <c r="S2583" s="74"/>
      <c r="T2583" s="74"/>
      <c r="U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  <c r="IW2583" s="74"/>
      <c r="IX2583" s="74"/>
      <c r="IY2583" s="74"/>
      <c r="IZ2583" s="74"/>
      <c r="JA2583" s="74"/>
    </row>
    <row r="2584" spans="1:261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Q2584" s="74"/>
      <c r="R2584" s="74"/>
      <c r="S2584" s="74"/>
      <c r="T2584" s="74"/>
      <c r="U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  <c r="IW2584" s="74"/>
      <c r="IX2584" s="74"/>
      <c r="IY2584" s="74"/>
      <c r="IZ2584" s="74"/>
      <c r="JA2584" s="74"/>
    </row>
    <row r="2585" spans="1:261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Q2585" s="74"/>
      <c r="R2585" s="74"/>
      <c r="S2585" s="74"/>
      <c r="T2585" s="74"/>
      <c r="U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  <c r="IW2585" s="74"/>
      <c r="IX2585" s="74"/>
      <c r="IY2585" s="74"/>
      <c r="IZ2585" s="74"/>
      <c r="JA2585" s="74"/>
    </row>
    <row r="2586" spans="1:261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Q2586" s="74"/>
      <c r="R2586" s="74"/>
      <c r="S2586" s="74"/>
      <c r="T2586" s="74"/>
      <c r="U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  <c r="IW2586" s="74"/>
      <c r="IX2586" s="74"/>
      <c r="IY2586" s="74"/>
      <c r="IZ2586" s="74"/>
      <c r="JA2586" s="74"/>
    </row>
    <row r="2587" spans="1:261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Q2587" s="74"/>
      <c r="R2587" s="74"/>
      <c r="S2587" s="74"/>
      <c r="T2587" s="74"/>
      <c r="U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  <c r="IW2587" s="74"/>
      <c r="IX2587" s="74"/>
      <c r="IY2587" s="74"/>
      <c r="IZ2587" s="74"/>
      <c r="JA2587" s="74"/>
    </row>
    <row r="2588" spans="1:261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Q2588" s="74"/>
      <c r="R2588" s="74"/>
      <c r="S2588" s="74"/>
      <c r="T2588" s="74"/>
      <c r="U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  <c r="IW2588" s="74"/>
      <c r="IX2588" s="74"/>
      <c r="IY2588" s="74"/>
      <c r="IZ2588" s="74"/>
      <c r="JA2588" s="74"/>
    </row>
    <row r="2589" spans="1:261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Q2589" s="74"/>
      <c r="R2589" s="74"/>
      <c r="S2589" s="74"/>
      <c r="T2589" s="74"/>
      <c r="U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  <c r="IW2589" s="74"/>
      <c r="IX2589" s="74"/>
      <c r="IY2589" s="74"/>
      <c r="IZ2589" s="74"/>
      <c r="JA2589" s="74"/>
    </row>
    <row r="2590" spans="1:261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Q2590" s="74"/>
      <c r="R2590" s="74"/>
      <c r="S2590" s="74"/>
      <c r="T2590" s="74"/>
      <c r="U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  <c r="IW2590" s="74"/>
      <c r="IX2590" s="74"/>
      <c r="IY2590" s="74"/>
      <c r="IZ2590" s="74"/>
      <c r="JA2590" s="74"/>
    </row>
    <row r="2591" spans="1:261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Q2591" s="74"/>
      <c r="R2591" s="74"/>
      <c r="S2591" s="74"/>
      <c r="T2591" s="74"/>
      <c r="U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  <c r="IW2591" s="74"/>
      <c r="IX2591" s="74"/>
      <c r="IY2591" s="74"/>
      <c r="IZ2591" s="74"/>
      <c r="JA2591" s="74"/>
    </row>
    <row r="2592" spans="1:261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Q2592" s="74"/>
      <c r="R2592" s="74"/>
      <c r="S2592" s="74"/>
      <c r="T2592" s="74"/>
      <c r="U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  <c r="IW2592" s="74"/>
      <c r="IX2592" s="74"/>
      <c r="IY2592" s="74"/>
      <c r="IZ2592" s="74"/>
      <c r="JA2592" s="74"/>
    </row>
    <row r="2593" spans="1:261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Q2593" s="74"/>
      <c r="R2593" s="74"/>
      <c r="S2593" s="74"/>
      <c r="T2593" s="74"/>
      <c r="U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  <c r="IW2593" s="74"/>
      <c r="IX2593" s="74"/>
      <c r="IY2593" s="74"/>
      <c r="IZ2593" s="74"/>
      <c r="JA2593" s="74"/>
    </row>
    <row r="2594" spans="1:261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Q2594" s="74"/>
      <c r="R2594" s="74"/>
      <c r="S2594" s="74"/>
      <c r="T2594" s="74"/>
      <c r="U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  <c r="IW2594" s="74"/>
      <c r="IX2594" s="74"/>
      <c r="IY2594" s="74"/>
      <c r="IZ2594" s="74"/>
      <c r="JA2594" s="74"/>
    </row>
    <row r="2595" spans="1:261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Q2595" s="74"/>
      <c r="R2595" s="74"/>
      <c r="S2595" s="74"/>
      <c r="T2595" s="74"/>
      <c r="U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  <c r="IW2595" s="74"/>
      <c r="IX2595" s="74"/>
      <c r="IY2595" s="74"/>
      <c r="IZ2595" s="74"/>
      <c r="JA2595" s="74"/>
    </row>
    <row r="2596" spans="1:261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Q2596" s="74"/>
      <c r="R2596" s="74"/>
      <c r="S2596" s="74"/>
      <c r="T2596" s="74"/>
      <c r="U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  <c r="IW2596" s="74"/>
      <c r="IX2596" s="74"/>
      <c r="IY2596" s="74"/>
      <c r="IZ2596" s="74"/>
      <c r="JA2596" s="74"/>
    </row>
    <row r="2597" spans="1:261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Q2597" s="74"/>
      <c r="R2597" s="74"/>
      <c r="S2597" s="74"/>
      <c r="T2597" s="74"/>
      <c r="U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  <c r="IW2597" s="74"/>
      <c r="IX2597" s="74"/>
      <c r="IY2597" s="74"/>
      <c r="IZ2597" s="74"/>
      <c r="JA2597" s="74"/>
    </row>
    <row r="2598" spans="1:261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Q2598" s="74"/>
      <c r="R2598" s="74"/>
      <c r="S2598" s="74"/>
      <c r="T2598" s="74"/>
      <c r="U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  <c r="IW2598" s="74"/>
      <c r="IX2598" s="74"/>
      <c r="IY2598" s="74"/>
      <c r="IZ2598" s="74"/>
      <c r="JA2598" s="74"/>
    </row>
    <row r="2599" spans="1:261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Q2599" s="74"/>
      <c r="R2599" s="74"/>
      <c r="S2599" s="74"/>
      <c r="T2599" s="74"/>
      <c r="U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  <c r="IW2599" s="74"/>
      <c r="IX2599" s="74"/>
      <c r="IY2599" s="74"/>
      <c r="IZ2599" s="74"/>
      <c r="JA2599" s="74"/>
    </row>
    <row r="2600" spans="1:261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Q2600" s="74"/>
      <c r="R2600" s="74"/>
      <c r="S2600" s="74"/>
      <c r="T2600" s="74"/>
      <c r="U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  <c r="IW2600" s="74"/>
      <c r="IX2600" s="74"/>
      <c r="IY2600" s="74"/>
      <c r="IZ2600" s="74"/>
      <c r="JA2600" s="74"/>
    </row>
    <row r="2601" spans="1:261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Q2601" s="74"/>
      <c r="R2601" s="74"/>
      <c r="S2601" s="74"/>
      <c r="T2601" s="74"/>
      <c r="U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  <c r="IW2601" s="74"/>
      <c r="IX2601" s="74"/>
      <c r="IY2601" s="74"/>
      <c r="IZ2601" s="74"/>
      <c r="JA2601" s="74"/>
    </row>
    <row r="2602" spans="1:261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Q2602" s="74"/>
      <c r="R2602" s="74"/>
      <c r="S2602" s="74"/>
      <c r="T2602" s="74"/>
      <c r="U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  <c r="IW2602" s="74"/>
      <c r="IX2602" s="74"/>
      <c r="IY2602" s="74"/>
      <c r="IZ2602" s="74"/>
      <c r="JA2602" s="74"/>
    </row>
    <row r="2603" spans="1:261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Q2603" s="74"/>
      <c r="R2603" s="74"/>
      <c r="S2603" s="74"/>
      <c r="T2603" s="74"/>
      <c r="U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  <c r="IW2603" s="74"/>
      <c r="IX2603" s="74"/>
      <c r="IY2603" s="74"/>
      <c r="IZ2603" s="74"/>
      <c r="JA2603" s="74"/>
    </row>
    <row r="2604" spans="1:261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Q2604" s="74"/>
      <c r="R2604" s="74"/>
      <c r="S2604" s="74"/>
      <c r="T2604" s="74"/>
      <c r="U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  <c r="IW2604" s="74"/>
      <c r="IX2604" s="74"/>
      <c r="IY2604" s="74"/>
      <c r="IZ2604" s="74"/>
      <c r="JA2604" s="74"/>
    </row>
    <row r="2605" spans="1:261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Q2605" s="74"/>
      <c r="R2605" s="74"/>
      <c r="S2605" s="74"/>
      <c r="T2605" s="74"/>
      <c r="U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  <c r="IW2605" s="74"/>
      <c r="IX2605" s="74"/>
      <c r="IY2605" s="74"/>
      <c r="IZ2605" s="74"/>
      <c r="JA2605" s="74"/>
    </row>
    <row r="2606" spans="1:261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Q2606" s="74"/>
      <c r="R2606" s="74"/>
      <c r="S2606" s="74"/>
      <c r="T2606" s="74"/>
      <c r="U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  <c r="IW2606" s="74"/>
      <c r="IX2606" s="74"/>
      <c r="IY2606" s="74"/>
      <c r="IZ2606" s="74"/>
      <c r="JA2606" s="74"/>
    </row>
    <row r="2607" spans="1:261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Q2607" s="74"/>
      <c r="R2607" s="74"/>
      <c r="S2607" s="74"/>
      <c r="T2607" s="74"/>
      <c r="U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  <c r="IW2607" s="74"/>
      <c r="IX2607" s="74"/>
      <c r="IY2607" s="74"/>
      <c r="IZ2607" s="74"/>
      <c r="JA2607" s="74"/>
    </row>
    <row r="2608" spans="1:261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Q2608" s="74"/>
      <c r="R2608" s="74"/>
      <c r="S2608" s="74"/>
      <c r="T2608" s="74"/>
      <c r="U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  <c r="IW2608" s="74"/>
      <c r="IX2608" s="74"/>
      <c r="IY2608" s="74"/>
      <c r="IZ2608" s="74"/>
      <c r="JA2608" s="74"/>
    </row>
    <row r="2609" spans="1:261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Q2609" s="74"/>
      <c r="R2609" s="74"/>
      <c r="S2609" s="74"/>
      <c r="T2609" s="74"/>
      <c r="U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  <c r="IW2609" s="74"/>
      <c r="IX2609" s="74"/>
      <c r="IY2609" s="74"/>
      <c r="IZ2609" s="74"/>
      <c r="JA2609" s="74"/>
    </row>
    <row r="2610" spans="1:261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Q2610" s="74"/>
      <c r="R2610" s="74"/>
      <c r="S2610" s="74"/>
      <c r="T2610" s="74"/>
      <c r="U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  <c r="IW2610" s="74"/>
      <c r="IX2610" s="74"/>
      <c r="IY2610" s="74"/>
      <c r="IZ2610" s="74"/>
      <c r="JA2610" s="74"/>
    </row>
    <row r="2611" spans="1:261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Q2611" s="74"/>
      <c r="R2611" s="74"/>
      <c r="S2611" s="74"/>
      <c r="T2611" s="74"/>
      <c r="U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  <c r="IW2611" s="74"/>
      <c r="IX2611" s="74"/>
      <c r="IY2611" s="74"/>
      <c r="IZ2611" s="74"/>
      <c r="JA2611" s="74"/>
    </row>
    <row r="2612" spans="1:261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Q2612" s="74"/>
      <c r="R2612" s="74"/>
      <c r="S2612" s="74"/>
      <c r="T2612" s="74"/>
      <c r="U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  <c r="IW2612" s="74"/>
      <c r="IX2612" s="74"/>
      <c r="IY2612" s="74"/>
      <c r="IZ2612" s="74"/>
      <c r="JA2612" s="74"/>
    </row>
    <row r="2613" spans="1:261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Q2613" s="74"/>
      <c r="R2613" s="74"/>
      <c r="S2613" s="74"/>
      <c r="T2613" s="74"/>
      <c r="U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  <c r="IW2613" s="74"/>
      <c r="IX2613" s="74"/>
      <c r="IY2613" s="74"/>
      <c r="IZ2613" s="74"/>
      <c r="JA2613" s="74"/>
    </row>
    <row r="2614" spans="1:261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Q2614" s="74"/>
      <c r="R2614" s="74"/>
      <c r="S2614" s="74"/>
      <c r="T2614" s="74"/>
      <c r="U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  <c r="IW2614" s="74"/>
      <c r="IX2614" s="74"/>
      <c r="IY2614" s="74"/>
      <c r="IZ2614" s="74"/>
      <c r="JA2614" s="74"/>
    </row>
    <row r="2615" spans="1:261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Q2615" s="74"/>
      <c r="R2615" s="74"/>
      <c r="S2615" s="74"/>
      <c r="T2615" s="74"/>
      <c r="U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  <c r="IW2615" s="74"/>
      <c r="IX2615" s="74"/>
      <c r="IY2615" s="74"/>
      <c r="IZ2615" s="74"/>
      <c r="JA2615" s="74"/>
    </row>
    <row r="2616" spans="1:261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Q2616" s="74"/>
      <c r="R2616" s="74"/>
      <c r="S2616" s="74"/>
      <c r="T2616" s="74"/>
      <c r="U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  <c r="IW2616" s="74"/>
      <c r="IX2616" s="74"/>
      <c r="IY2616" s="74"/>
      <c r="IZ2616" s="74"/>
      <c r="JA2616" s="74"/>
    </row>
    <row r="2617" spans="1:261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Q2617" s="74"/>
      <c r="R2617" s="74"/>
      <c r="S2617" s="74"/>
      <c r="T2617" s="74"/>
      <c r="U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  <c r="IW2617" s="74"/>
      <c r="IX2617" s="74"/>
      <c r="IY2617" s="74"/>
      <c r="IZ2617" s="74"/>
      <c r="JA2617" s="74"/>
    </row>
    <row r="2618" spans="1:261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Q2618" s="74"/>
      <c r="R2618" s="74"/>
      <c r="S2618" s="74"/>
      <c r="T2618" s="74"/>
      <c r="U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  <c r="IW2618" s="74"/>
      <c r="IX2618" s="74"/>
      <c r="IY2618" s="74"/>
      <c r="IZ2618" s="74"/>
      <c r="JA2618" s="74"/>
    </row>
    <row r="2619" spans="1:261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Q2619" s="74"/>
      <c r="R2619" s="74"/>
      <c r="S2619" s="74"/>
      <c r="T2619" s="74"/>
      <c r="U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  <c r="IW2619" s="74"/>
      <c r="IX2619" s="74"/>
      <c r="IY2619" s="74"/>
      <c r="IZ2619" s="74"/>
      <c r="JA2619" s="74"/>
    </row>
    <row r="2620" spans="1:261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Q2620" s="74"/>
      <c r="R2620" s="74"/>
      <c r="S2620" s="74"/>
      <c r="T2620" s="74"/>
      <c r="U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  <c r="IW2620" s="74"/>
      <c r="IX2620" s="74"/>
      <c r="IY2620" s="74"/>
      <c r="IZ2620" s="74"/>
      <c r="JA2620" s="74"/>
    </row>
    <row r="2621" spans="1:261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Q2621" s="74"/>
      <c r="R2621" s="74"/>
      <c r="S2621" s="74"/>
      <c r="T2621" s="74"/>
      <c r="U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  <c r="IW2621" s="74"/>
      <c r="IX2621" s="74"/>
      <c r="IY2621" s="74"/>
      <c r="IZ2621" s="74"/>
      <c r="JA2621" s="74"/>
    </row>
    <row r="2622" spans="1:261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Q2622" s="74"/>
      <c r="R2622" s="74"/>
      <c r="S2622" s="74"/>
      <c r="T2622" s="74"/>
      <c r="U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  <c r="IW2622" s="74"/>
      <c r="IX2622" s="74"/>
      <c r="IY2622" s="74"/>
      <c r="IZ2622" s="74"/>
      <c r="JA2622" s="74"/>
    </row>
    <row r="2623" spans="1:261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Q2623" s="74"/>
      <c r="R2623" s="74"/>
      <c r="S2623" s="74"/>
      <c r="T2623" s="74"/>
      <c r="U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  <c r="IW2623" s="74"/>
      <c r="IX2623" s="74"/>
      <c r="IY2623" s="74"/>
      <c r="IZ2623" s="74"/>
      <c r="JA2623" s="74"/>
    </row>
    <row r="2624" spans="1:261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Q2624" s="74"/>
      <c r="R2624" s="74"/>
      <c r="S2624" s="74"/>
      <c r="T2624" s="74"/>
      <c r="U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  <c r="IW2624" s="74"/>
      <c r="IX2624" s="74"/>
      <c r="IY2624" s="74"/>
      <c r="IZ2624" s="74"/>
      <c r="JA2624" s="74"/>
    </row>
    <row r="2625" spans="1:261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Q2625" s="74"/>
      <c r="R2625" s="74"/>
      <c r="S2625" s="74"/>
      <c r="T2625" s="74"/>
      <c r="U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  <c r="IW2625" s="74"/>
      <c r="IX2625" s="74"/>
      <c r="IY2625" s="74"/>
      <c r="IZ2625" s="74"/>
      <c r="JA2625" s="74"/>
    </row>
    <row r="2626" spans="1:261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Q2626" s="74"/>
      <c r="R2626" s="74"/>
      <c r="S2626" s="74"/>
      <c r="T2626" s="74"/>
      <c r="U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  <c r="IW2626" s="74"/>
      <c r="IX2626" s="74"/>
      <c r="IY2626" s="74"/>
      <c r="IZ2626" s="74"/>
      <c r="JA2626" s="74"/>
    </row>
    <row r="2627" spans="1:261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Q2627" s="74"/>
      <c r="R2627" s="74"/>
      <c r="S2627" s="74"/>
      <c r="T2627" s="74"/>
      <c r="U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  <c r="IW2627" s="74"/>
      <c r="IX2627" s="74"/>
      <c r="IY2627" s="74"/>
      <c r="IZ2627" s="74"/>
      <c r="JA2627" s="74"/>
    </row>
    <row r="2628" spans="1:261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Q2628" s="74"/>
      <c r="R2628" s="74"/>
      <c r="S2628" s="74"/>
      <c r="T2628" s="74"/>
      <c r="U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  <c r="IW2628" s="74"/>
      <c r="IX2628" s="74"/>
      <c r="IY2628" s="74"/>
      <c r="IZ2628" s="74"/>
      <c r="JA2628" s="74"/>
    </row>
    <row r="2629" spans="1:261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Q2629" s="74"/>
      <c r="R2629" s="74"/>
      <c r="S2629" s="74"/>
      <c r="T2629" s="74"/>
      <c r="U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  <c r="IW2629" s="74"/>
      <c r="IX2629" s="74"/>
      <c r="IY2629" s="74"/>
      <c r="IZ2629" s="74"/>
      <c r="JA2629" s="74"/>
    </row>
    <row r="2630" spans="1:261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Q2630" s="74"/>
      <c r="R2630" s="74"/>
      <c r="S2630" s="74"/>
      <c r="T2630" s="74"/>
      <c r="U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  <c r="IW2630" s="74"/>
      <c r="IX2630" s="74"/>
      <c r="IY2630" s="74"/>
      <c r="IZ2630" s="74"/>
      <c r="JA2630" s="74"/>
    </row>
    <row r="2631" spans="1:261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Q2631" s="74"/>
      <c r="R2631" s="74"/>
      <c r="S2631" s="74"/>
      <c r="T2631" s="74"/>
      <c r="U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  <c r="IW2631" s="74"/>
      <c r="IX2631" s="74"/>
      <c r="IY2631" s="74"/>
      <c r="IZ2631" s="74"/>
      <c r="JA2631" s="74"/>
    </row>
    <row r="2632" spans="1:261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Q2632" s="74"/>
      <c r="R2632" s="74"/>
      <c r="S2632" s="74"/>
      <c r="T2632" s="74"/>
      <c r="U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  <c r="IW2632" s="74"/>
      <c r="IX2632" s="74"/>
      <c r="IY2632" s="74"/>
      <c r="IZ2632" s="74"/>
      <c r="JA2632" s="74"/>
    </row>
    <row r="2633" spans="1:261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Q2633" s="74"/>
      <c r="R2633" s="74"/>
      <c r="S2633" s="74"/>
      <c r="T2633" s="74"/>
      <c r="U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  <c r="IW2633" s="74"/>
      <c r="IX2633" s="74"/>
      <c r="IY2633" s="74"/>
      <c r="IZ2633" s="74"/>
      <c r="JA2633" s="74"/>
    </row>
    <row r="2634" spans="1:261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Q2634" s="74"/>
      <c r="R2634" s="74"/>
      <c r="S2634" s="74"/>
      <c r="T2634" s="74"/>
      <c r="U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  <c r="IW2634" s="74"/>
      <c r="IX2634" s="74"/>
      <c r="IY2634" s="74"/>
      <c r="IZ2634" s="74"/>
      <c r="JA2634" s="74"/>
    </row>
    <row r="2635" spans="1:261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Q2635" s="74"/>
      <c r="R2635" s="74"/>
      <c r="S2635" s="74"/>
      <c r="T2635" s="74"/>
      <c r="U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  <c r="IW2635" s="74"/>
      <c r="IX2635" s="74"/>
      <c r="IY2635" s="74"/>
      <c r="IZ2635" s="74"/>
      <c r="JA2635" s="74"/>
    </row>
    <row r="2636" spans="1:261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Q2636" s="74"/>
      <c r="R2636" s="74"/>
      <c r="S2636" s="74"/>
      <c r="T2636" s="74"/>
      <c r="U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  <c r="IW2636" s="74"/>
      <c r="IX2636" s="74"/>
      <c r="IY2636" s="74"/>
      <c r="IZ2636" s="74"/>
      <c r="JA2636" s="74"/>
    </row>
    <row r="2637" spans="1:261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Q2637" s="74"/>
      <c r="R2637" s="74"/>
      <c r="S2637" s="74"/>
      <c r="T2637" s="74"/>
      <c r="U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  <c r="IW2637" s="74"/>
      <c r="IX2637" s="74"/>
      <c r="IY2637" s="74"/>
      <c r="IZ2637" s="74"/>
      <c r="JA2637" s="74"/>
    </row>
    <row r="2638" spans="1:261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Q2638" s="74"/>
      <c r="R2638" s="74"/>
      <c r="S2638" s="74"/>
      <c r="T2638" s="74"/>
      <c r="U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  <c r="IW2638" s="74"/>
      <c r="IX2638" s="74"/>
      <c r="IY2638" s="74"/>
      <c r="IZ2638" s="74"/>
      <c r="JA2638" s="74"/>
    </row>
    <row r="2639" spans="1:261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Q2639" s="74"/>
      <c r="R2639" s="74"/>
      <c r="S2639" s="74"/>
      <c r="T2639" s="74"/>
      <c r="U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  <c r="IW2639" s="74"/>
      <c r="IX2639" s="74"/>
      <c r="IY2639" s="74"/>
      <c r="IZ2639" s="74"/>
      <c r="JA2639" s="74"/>
    </row>
    <row r="2640" spans="1:261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Q2640" s="74"/>
      <c r="R2640" s="74"/>
      <c r="S2640" s="74"/>
      <c r="T2640" s="74"/>
      <c r="U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  <c r="IW2640" s="74"/>
      <c r="IX2640" s="74"/>
      <c r="IY2640" s="74"/>
      <c r="IZ2640" s="74"/>
      <c r="JA2640" s="74"/>
    </row>
    <row r="2641" spans="1:261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Q2641" s="74"/>
      <c r="R2641" s="74"/>
      <c r="S2641" s="74"/>
      <c r="T2641" s="74"/>
      <c r="U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  <c r="IW2641" s="74"/>
      <c r="IX2641" s="74"/>
      <c r="IY2641" s="74"/>
      <c r="IZ2641" s="74"/>
      <c r="JA2641" s="74"/>
    </row>
    <row r="2642" spans="1:261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Q2642" s="74"/>
      <c r="R2642" s="74"/>
      <c r="S2642" s="74"/>
      <c r="T2642" s="74"/>
      <c r="U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  <c r="IW2642" s="74"/>
      <c r="IX2642" s="74"/>
      <c r="IY2642" s="74"/>
      <c r="IZ2642" s="74"/>
      <c r="JA2642" s="74"/>
    </row>
    <row r="2643" spans="1:261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Q2643" s="74"/>
      <c r="R2643" s="74"/>
      <c r="S2643" s="74"/>
      <c r="T2643" s="74"/>
      <c r="U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  <c r="IW2643" s="74"/>
      <c r="IX2643" s="74"/>
      <c r="IY2643" s="74"/>
      <c r="IZ2643" s="74"/>
      <c r="JA2643" s="74"/>
    </row>
    <row r="2644" spans="1:261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Q2644" s="74"/>
      <c r="R2644" s="74"/>
      <c r="S2644" s="74"/>
      <c r="T2644" s="74"/>
      <c r="U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  <c r="IW2644" s="74"/>
      <c r="IX2644" s="74"/>
      <c r="IY2644" s="74"/>
      <c r="IZ2644" s="74"/>
      <c r="JA2644" s="74"/>
    </row>
    <row r="2645" spans="1:261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Q2645" s="74"/>
      <c r="R2645" s="74"/>
      <c r="S2645" s="74"/>
      <c r="T2645" s="74"/>
      <c r="U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  <c r="IW2645" s="74"/>
      <c r="IX2645" s="74"/>
      <c r="IY2645" s="74"/>
      <c r="IZ2645" s="74"/>
      <c r="JA2645" s="74"/>
    </row>
    <row r="2646" spans="1:261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Q2646" s="74"/>
      <c r="R2646" s="74"/>
      <c r="S2646" s="74"/>
      <c r="T2646" s="74"/>
      <c r="U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  <c r="IW2646" s="74"/>
      <c r="IX2646" s="74"/>
      <c r="IY2646" s="74"/>
      <c r="IZ2646" s="74"/>
      <c r="JA2646" s="74"/>
    </row>
    <row r="2647" spans="1:261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Q2647" s="74"/>
      <c r="R2647" s="74"/>
      <c r="S2647" s="74"/>
      <c r="T2647" s="74"/>
      <c r="U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  <c r="IW2647" s="74"/>
      <c r="IX2647" s="74"/>
      <c r="IY2647" s="74"/>
      <c r="IZ2647" s="74"/>
      <c r="JA2647" s="74"/>
    </row>
    <row r="2648" spans="1:261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Q2648" s="74"/>
      <c r="R2648" s="74"/>
      <c r="S2648" s="74"/>
      <c r="T2648" s="74"/>
      <c r="U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  <c r="IW2648" s="74"/>
      <c r="IX2648" s="74"/>
      <c r="IY2648" s="74"/>
      <c r="IZ2648" s="74"/>
      <c r="JA2648" s="74"/>
    </row>
    <row r="2649" spans="1:261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Q2649" s="74"/>
      <c r="R2649" s="74"/>
      <c r="S2649" s="74"/>
      <c r="T2649" s="74"/>
      <c r="U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  <c r="IW2649" s="74"/>
      <c r="IX2649" s="74"/>
      <c r="IY2649" s="74"/>
      <c r="IZ2649" s="74"/>
      <c r="JA2649" s="74"/>
    </row>
    <row r="2650" spans="1:261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Q2650" s="74"/>
      <c r="R2650" s="74"/>
      <c r="S2650" s="74"/>
      <c r="T2650" s="74"/>
      <c r="U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  <c r="IW2650" s="74"/>
      <c r="IX2650" s="74"/>
      <c r="IY2650" s="74"/>
      <c r="IZ2650" s="74"/>
      <c r="JA2650" s="74"/>
    </row>
    <row r="2651" spans="1:261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Q2651" s="74"/>
      <c r="R2651" s="74"/>
      <c r="S2651" s="74"/>
      <c r="T2651" s="74"/>
      <c r="U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  <c r="IW2651" s="74"/>
      <c r="IX2651" s="74"/>
      <c r="IY2651" s="74"/>
      <c r="IZ2651" s="74"/>
      <c r="JA2651" s="74"/>
    </row>
    <row r="2652" spans="1:261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Q2652" s="74"/>
      <c r="R2652" s="74"/>
      <c r="S2652" s="74"/>
      <c r="T2652" s="74"/>
      <c r="U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  <c r="IW2652" s="74"/>
      <c r="IX2652" s="74"/>
      <c r="IY2652" s="74"/>
      <c r="IZ2652" s="74"/>
      <c r="JA2652" s="74"/>
    </row>
    <row r="2653" spans="1:261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Q2653" s="74"/>
      <c r="R2653" s="74"/>
      <c r="S2653" s="74"/>
      <c r="T2653" s="74"/>
      <c r="U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  <c r="IW2653" s="74"/>
      <c r="IX2653" s="74"/>
      <c r="IY2653" s="74"/>
      <c r="IZ2653" s="74"/>
      <c r="JA2653" s="74"/>
    </row>
    <row r="2654" spans="1:261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Q2654" s="74"/>
      <c r="R2654" s="74"/>
      <c r="S2654" s="74"/>
      <c r="T2654" s="74"/>
      <c r="U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  <c r="IW2654" s="74"/>
      <c r="IX2654" s="74"/>
      <c r="IY2654" s="74"/>
      <c r="IZ2654" s="74"/>
      <c r="JA2654" s="74"/>
    </row>
    <row r="2655" spans="1:261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Q2655" s="74"/>
      <c r="R2655" s="74"/>
      <c r="S2655" s="74"/>
      <c r="T2655" s="74"/>
      <c r="U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  <c r="IW2655" s="74"/>
      <c r="IX2655" s="74"/>
      <c r="IY2655" s="74"/>
      <c r="IZ2655" s="74"/>
      <c r="JA2655" s="74"/>
    </row>
    <row r="2656" spans="1:261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Q2656" s="74"/>
      <c r="R2656" s="74"/>
      <c r="S2656" s="74"/>
      <c r="T2656" s="74"/>
      <c r="U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  <c r="IW2656" s="74"/>
      <c r="IX2656" s="74"/>
      <c r="IY2656" s="74"/>
      <c r="IZ2656" s="74"/>
      <c r="JA2656" s="74"/>
    </row>
    <row r="2657" spans="1:261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74"/>
      <c r="R2657" s="74"/>
      <c r="S2657" s="74"/>
      <c r="T2657" s="74"/>
      <c r="U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  <c r="IW2657" s="74"/>
      <c r="IX2657" s="74"/>
      <c r="IY2657" s="74"/>
      <c r="IZ2657" s="74"/>
      <c r="JA2657" s="74"/>
    </row>
    <row r="2658" spans="1:261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Q2658" s="74"/>
      <c r="R2658" s="74"/>
      <c r="S2658" s="74"/>
      <c r="T2658" s="74"/>
      <c r="U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  <c r="IW2658" s="74"/>
      <c r="IX2658" s="74"/>
      <c r="IY2658" s="74"/>
      <c r="IZ2658" s="74"/>
      <c r="JA2658" s="74"/>
    </row>
    <row r="2659" spans="1:261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Q2659" s="74"/>
      <c r="R2659" s="74"/>
      <c r="S2659" s="74"/>
      <c r="T2659" s="74"/>
      <c r="U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  <c r="IW2659" s="74"/>
      <c r="IX2659" s="74"/>
      <c r="IY2659" s="74"/>
      <c r="IZ2659" s="74"/>
      <c r="JA2659" s="74"/>
    </row>
    <row r="2660" spans="1:261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Q2660" s="74"/>
      <c r="R2660" s="74"/>
      <c r="S2660" s="74"/>
      <c r="T2660" s="74"/>
      <c r="U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  <c r="IW2660" s="74"/>
      <c r="IX2660" s="74"/>
      <c r="IY2660" s="74"/>
      <c r="IZ2660" s="74"/>
      <c r="JA2660" s="74"/>
    </row>
    <row r="2661" spans="1:261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Q2661" s="74"/>
      <c r="R2661" s="74"/>
      <c r="S2661" s="74"/>
      <c r="T2661" s="74"/>
      <c r="U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  <c r="IW2661" s="74"/>
      <c r="IX2661" s="74"/>
      <c r="IY2661" s="74"/>
      <c r="IZ2661" s="74"/>
      <c r="JA2661" s="74"/>
    </row>
    <row r="2662" spans="1:261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Q2662" s="74"/>
      <c r="R2662" s="74"/>
      <c r="S2662" s="74"/>
      <c r="T2662" s="74"/>
      <c r="U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  <c r="IW2662" s="74"/>
      <c r="IX2662" s="74"/>
      <c r="IY2662" s="74"/>
      <c r="IZ2662" s="74"/>
      <c r="JA2662" s="74"/>
    </row>
    <row r="2663" spans="1:261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Q2663" s="74"/>
      <c r="R2663" s="74"/>
      <c r="S2663" s="74"/>
      <c r="T2663" s="74"/>
      <c r="U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  <c r="IW2663" s="74"/>
      <c r="IX2663" s="74"/>
      <c r="IY2663" s="74"/>
      <c r="IZ2663" s="74"/>
      <c r="JA2663" s="74"/>
    </row>
    <row r="2664" spans="1:261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Q2664" s="74"/>
      <c r="R2664" s="74"/>
      <c r="S2664" s="74"/>
      <c r="T2664" s="74"/>
      <c r="U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  <c r="IW2664" s="74"/>
      <c r="IX2664" s="74"/>
      <c r="IY2664" s="74"/>
      <c r="IZ2664" s="74"/>
      <c r="JA2664" s="74"/>
    </row>
    <row r="2665" spans="1:261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Q2665" s="74"/>
      <c r="R2665" s="74"/>
      <c r="S2665" s="74"/>
      <c r="T2665" s="74"/>
      <c r="U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  <c r="IW2665" s="74"/>
      <c r="IX2665" s="74"/>
      <c r="IY2665" s="74"/>
      <c r="IZ2665" s="74"/>
      <c r="JA2665" s="74"/>
    </row>
    <row r="2666" spans="1:261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Q2666" s="74"/>
      <c r="R2666" s="74"/>
      <c r="S2666" s="74"/>
      <c r="T2666" s="74"/>
      <c r="U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  <c r="IW2666" s="74"/>
      <c r="IX2666" s="74"/>
      <c r="IY2666" s="74"/>
      <c r="IZ2666" s="74"/>
      <c r="JA2666" s="74"/>
    </row>
    <row r="2667" spans="1:261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Q2667" s="74"/>
      <c r="R2667" s="74"/>
      <c r="S2667" s="74"/>
      <c r="T2667" s="74"/>
      <c r="U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  <c r="IW2667" s="74"/>
      <c r="IX2667" s="74"/>
      <c r="IY2667" s="74"/>
      <c r="IZ2667" s="74"/>
      <c r="JA2667" s="74"/>
    </row>
    <row r="2668" spans="1:261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Q2668" s="74"/>
      <c r="R2668" s="74"/>
      <c r="S2668" s="74"/>
      <c r="T2668" s="74"/>
      <c r="U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  <c r="IW2668" s="74"/>
      <c r="IX2668" s="74"/>
      <c r="IY2668" s="74"/>
      <c r="IZ2668" s="74"/>
      <c r="JA2668" s="74"/>
    </row>
    <row r="2669" spans="1:261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Q2669" s="74"/>
      <c r="R2669" s="74"/>
      <c r="S2669" s="74"/>
      <c r="T2669" s="74"/>
      <c r="U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  <c r="IW2669" s="74"/>
      <c r="IX2669" s="74"/>
      <c r="IY2669" s="74"/>
      <c r="IZ2669" s="74"/>
      <c r="JA2669" s="74"/>
    </row>
    <row r="2670" spans="1:261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Q2670" s="74"/>
      <c r="R2670" s="74"/>
      <c r="S2670" s="74"/>
      <c r="T2670" s="74"/>
      <c r="U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  <c r="IW2670" s="74"/>
      <c r="IX2670" s="74"/>
      <c r="IY2670" s="74"/>
      <c r="IZ2670" s="74"/>
      <c r="JA2670" s="74"/>
    </row>
    <row r="2671" spans="1:261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Q2671" s="74"/>
      <c r="R2671" s="74"/>
      <c r="S2671" s="74"/>
      <c r="T2671" s="74"/>
      <c r="U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  <c r="IW2671" s="74"/>
      <c r="IX2671" s="74"/>
      <c r="IY2671" s="74"/>
      <c r="IZ2671" s="74"/>
      <c r="JA2671" s="74"/>
    </row>
    <row r="2672" spans="1:261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Q2672" s="74"/>
      <c r="R2672" s="74"/>
      <c r="S2672" s="74"/>
      <c r="T2672" s="74"/>
      <c r="U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  <c r="IW2672" s="74"/>
      <c r="IX2672" s="74"/>
      <c r="IY2672" s="74"/>
      <c r="IZ2672" s="74"/>
      <c r="JA2672" s="74"/>
    </row>
    <row r="2673" spans="1:261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Q2673" s="74"/>
      <c r="R2673" s="74"/>
      <c r="S2673" s="74"/>
      <c r="T2673" s="74"/>
      <c r="U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  <c r="IW2673" s="74"/>
      <c r="IX2673" s="74"/>
      <c r="IY2673" s="74"/>
      <c r="IZ2673" s="74"/>
      <c r="JA2673" s="74"/>
    </row>
    <row r="2674" spans="1:261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Q2674" s="74"/>
      <c r="R2674" s="74"/>
      <c r="S2674" s="74"/>
      <c r="T2674" s="74"/>
      <c r="U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  <c r="IW2674" s="74"/>
      <c r="IX2674" s="74"/>
      <c r="IY2674" s="74"/>
      <c r="IZ2674" s="74"/>
      <c r="JA2674" s="74"/>
    </row>
    <row r="2675" spans="1:261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Q2675" s="74"/>
      <c r="R2675" s="74"/>
      <c r="S2675" s="74"/>
      <c r="T2675" s="74"/>
      <c r="U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  <c r="IW2675" s="74"/>
      <c r="IX2675" s="74"/>
      <c r="IY2675" s="74"/>
      <c r="IZ2675" s="74"/>
      <c r="JA2675" s="74"/>
    </row>
    <row r="2676" spans="1:261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Q2676" s="74"/>
      <c r="R2676" s="74"/>
      <c r="S2676" s="74"/>
      <c r="T2676" s="74"/>
      <c r="U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  <c r="IW2676" s="74"/>
      <c r="IX2676" s="74"/>
      <c r="IY2676" s="74"/>
      <c r="IZ2676" s="74"/>
      <c r="JA2676" s="74"/>
    </row>
    <row r="2677" spans="1:261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Q2677" s="74"/>
      <c r="R2677" s="74"/>
      <c r="S2677" s="74"/>
      <c r="T2677" s="74"/>
      <c r="U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  <c r="IW2677" s="74"/>
      <c r="IX2677" s="74"/>
      <c r="IY2677" s="74"/>
      <c r="IZ2677" s="74"/>
      <c r="JA2677" s="74"/>
    </row>
    <row r="2678" spans="1:261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Q2678" s="74"/>
      <c r="R2678" s="74"/>
      <c r="S2678" s="74"/>
      <c r="T2678" s="74"/>
      <c r="U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  <c r="IW2678" s="74"/>
      <c r="IX2678" s="74"/>
      <c r="IY2678" s="74"/>
      <c r="IZ2678" s="74"/>
      <c r="JA2678" s="74"/>
    </row>
    <row r="2679" spans="1:261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Q2679" s="74"/>
      <c r="R2679" s="74"/>
      <c r="S2679" s="74"/>
      <c r="T2679" s="74"/>
      <c r="U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  <c r="IW2679" s="74"/>
      <c r="IX2679" s="74"/>
      <c r="IY2679" s="74"/>
      <c r="IZ2679" s="74"/>
      <c r="JA2679" s="74"/>
    </row>
    <row r="2680" spans="1:261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Q2680" s="74"/>
      <c r="R2680" s="74"/>
      <c r="S2680" s="74"/>
      <c r="T2680" s="74"/>
      <c r="U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  <c r="IW2680" s="74"/>
      <c r="IX2680" s="74"/>
      <c r="IY2680" s="74"/>
      <c r="IZ2680" s="74"/>
      <c r="JA2680" s="74"/>
    </row>
    <row r="2681" spans="1:261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Q2681" s="74"/>
      <c r="R2681" s="74"/>
      <c r="S2681" s="74"/>
      <c r="T2681" s="74"/>
      <c r="U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  <c r="IW2681" s="74"/>
      <c r="IX2681" s="74"/>
      <c r="IY2681" s="74"/>
      <c r="IZ2681" s="74"/>
      <c r="JA2681" s="74"/>
    </row>
    <row r="2682" spans="1:261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Q2682" s="74"/>
      <c r="R2682" s="74"/>
      <c r="S2682" s="74"/>
      <c r="T2682" s="74"/>
      <c r="U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  <c r="IW2682" s="74"/>
      <c r="IX2682" s="74"/>
      <c r="IY2682" s="74"/>
      <c r="IZ2682" s="74"/>
      <c r="JA2682" s="74"/>
    </row>
    <row r="2683" spans="1:261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Q2683" s="74"/>
      <c r="R2683" s="74"/>
      <c r="S2683" s="74"/>
      <c r="T2683" s="74"/>
      <c r="U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  <c r="IW2683" s="74"/>
      <c r="IX2683" s="74"/>
      <c r="IY2683" s="74"/>
      <c r="IZ2683" s="74"/>
      <c r="JA2683" s="74"/>
    </row>
    <row r="2684" spans="1:261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Q2684" s="74"/>
      <c r="R2684" s="74"/>
      <c r="S2684" s="74"/>
      <c r="T2684" s="74"/>
      <c r="U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  <c r="IW2684" s="74"/>
      <c r="IX2684" s="74"/>
      <c r="IY2684" s="74"/>
      <c r="IZ2684" s="74"/>
      <c r="JA2684" s="74"/>
    </row>
    <row r="2685" spans="1:261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Q2685" s="74"/>
      <c r="R2685" s="74"/>
      <c r="S2685" s="74"/>
      <c r="T2685" s="74"/>
      <c r="U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  <c r="IW2685" s="74"/>
      <c r="IX2685" s="74"/>
      <c r="IY2685" s="74"/>
      <c r="IZ2685" s="74"/>
      <c r="JA2685" s="74"/>
    </row>
    <row r="2686" spans="1:261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Q2686" s="74"/>
      <c r="R2686" s="74"/>
      <c r="S2686" s="74"/>
      <c r="T2686" s="74"/>
      <c r="U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  <c r="IW2686" s="74"/>
      <c r="IX2686" s="74"/>
      <c r="IY2686" s="74"/>
      <c r="IZ2686" s="74"/>
      <c r="JA2686" s="74"/>
    </row>
    <row r="2687" spans="1:261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Q2687" s="74"/>
      <c r="R2687" s="74"/>
      <c r="S2687" s="74"/>
      <c r="T2687" s="74"/>
      <c r="U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  <c r="IW2687" s="74"/>
      <c r="IX2687" s="74"/>
      <c r="IY2687" s="74"/>
      <c r="IZ2687" s="74"/>
      <c r="JA2687" s="74"/>
    </row>
    <row r="2688" spans="1:261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Q2688" s="74"/>
      <c r="R2688" s="74"/>
      <c r="S2688" s="74"/>
      <c r="T2688" s="74"/>
      <c r="U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  <c r="IW2688" s="74"/>
      <c r="IX2688" s="74"/>
      <c r="IY2688" s="74"/>
      <c r="IZ2688" s="74"/>
      <c r="JA2688" s="74"/>
    </row>
    <row r="2689" spans="1:261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Q2689" s="74"/>
      <c r="R2689" s="74"/>
      <c r="S2689" s="74"/>
      <c r="T2689" s="74"/>
      <c r="U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  <c r="IW2689" s="74"/>
      <c r="IX2689" s="74"/>
      <c r="IY2689" s="74"/>
      <c r="IZ2689" s="74"/>
      <c r="JA2689" s="74"/>
    </row>
    <row r="2690" spans="1:261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Q2690" s="74"/>
      <c r="R2690" s="74"/>
      <c r="S2690" s="74"/>
      <c r="T2690" s="74"/>
      <c r="U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  <c r="IW2690" s="74"/>
      <c r="IX2690" s="74"/>
      <c r="IY2690" s="74"/>
      <c r="IZ2690" s="74"/>
      <c r="JA2690" s="74"/>
    </row>
    <row r="2691" spans="1:261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Q2691" s="74"/>
      <c r="R2691" s="74"/>
      <c r="S2691" s="74"/>
      <c r="T2691" s="74"/>
      <c r="U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  <c r="IW2691" s="74"/>
      <c r="IX2691" s="74"/>
      <c r="IY2691" s="74"/>
      <c r="IZ2691" s="74"/>
      <c r="JA2691" s="74"/>
    </row>
    <row r="2692" spans="1:261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Q2692" s="74"/>
      <c r="R2692" s="74"/>
      <c r="S2692" s="74"/>
      <c r="T2692" s="74"/>
      <c r="U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  <c r="IW2692" s="74"/>
      <c r="IX2692" s="74"/>
      <c r="IY2692" s="74"/>
      <c r="IZ2692" s="74"/>
      <c r="JA2692" s="74"/>
    </row>
    <row r="2693" spans="1:261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Q2693" s="74"/>
      <c r="R2693" s="74"/>
      <c r="S2693" s="74"/>
      <c r="T2693" s="74"/>
      <c r="U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  <c r="IW2693" s="74"/>
      <c r="IX2693" s="74"/>
      <c r="IY2693" s="74"/>
      <c r="IZ2693" s="74"/>
      <c r="JA2693" s="74"/>
    </row>
    <row r="2694" spans="1:261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Q2694" s="74"/>
      <c r="R2694" s="74"/>
      <c r="S2694" s="74"/>
      <c r="T2694" s="74"/>
      <c r="U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  <c r="IW2694" s="74"/>
      <c r="IX2694" s="74"/>
      <c r="IY2694" s="74"/>
      <c r="IZ2694" s="74"/>
      <c r="JA2694" s="74"/>
    </row>
    <row r="2695" spans="1:261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Q2695" s="74"/>
      <c r="R2695" s="74"/>
      <c r="S2695" s="74"/>
      <c r="T2695" s="74"/>
      <c r="U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  <c r="IW2695" s="74"/>
      <c r="IX2695" s="74"/>
      <c r="IY2695" s="74"/>
      <c r="IZ2695" s="74"/>
      <c r="JA2695" s="74"/>
    </row>
    <row r="2696" spans="1:261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Q2696" s="74"/>
      <c r="R2696" s="74"/>
      <c r="S2696" s="74"/>
      <c r="T2696" s="74"/>
      <c r="U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  <c r="IW2696" s="74"/>
      <c r="IX2696" s="74"/>
      <c r="IY2696" s="74"/>
      <c r="IZ2696" s="74"/>
      <c r="JA2696" s="74"/>
    </row>
    <row r="2697" spans="1:261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Q2697" s="74"/>
      <c r="R2697" s="74"/>
      <c r="S2697" s="74"/>
      <c r="T2697" s="74"/>
      <c r="U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  <c r="IW2697" s="74"/>
      <c r="IX2697" s="74"/>
      <c r="IY2697" s="74"/>
      <c r="IZ2697" s="74"/>
      <c r="JA2697" s="74"/>
    </row>
    <row r="2698" spans="1:261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Q2698" s="74"/>
      <c r="R2698" s="74"/>
      <c r="S2698" s="74"/>
      <c r="T2698" s="74"/>
      <c r="U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  <c r="IW2698" s="74"/>
      <c r="IX2698" s="74"/>
      <c r="IY2698" s="74"/>
      <c r="IZ2698" s="74"/>
      <c r="JA2698" s="74"/>
    </row>
    <row r="2699" spans="1:261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Q2699" s="74"/>
      <c r="R2699" s="74"/>
      <c r="S2699" s="74"/>
      <c r="T2699" s="74"/>
      <c r="U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  <c r="IW2699" s="74"/>
      <c r="IX2699" s="74"/>
      <c r="IY2699" s="74"/>
      <c r="IZ2699" s="74"/>
      <c r="JA2699" s="74"/>
    </row>
    <row r="2700" spans="1:261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Q2700" s="74"/>
      <c r="R2700" s="74"/>
      <c r="S2700" s="74"/>
      <c r="T2700" s="74"/>
      <c r="U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  <c r="IW2700" s="74"/>
      <c r="IX2700" s="74"/>
      <c r="IY2700" s="74"/>
      <c r="IZ2700" s="74"/>
      <c r="JA2700" s="74"/>
    </row>
    <row r="2701" spans="1:261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Q2701" s="74"/>
      <c r="R2701" s="74"/>
      <c r="S2701" s="74"/>
      <c r="T2701" s="74"/>
      <c r="U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  <c r="IW2701" s="74"/>
      <c r="IX2701" s="74"/>
      <c r="IY2701" s="74"/>
      <c r="IZ2701" s="74"/>
      <c r="JA2701" s="74"/>
    </row>
    <row r="2702" spans="1:261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Q2702" s="74"/>
      <c r="R2702" s="74"/>
      <c r="S2702" s="74"/>
      <c r="T2702" s="74"/>
      <c r="U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  <c r="IW2702" s="74"/>
      <c r="IX2702" s="74"/>
      <c r="IY2702" s="74"/>
      <c r="IZ2702" s="74"/>
      <c r="JA2702" s="74"/>
    </row>
    <row r="2703" spans="1:261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Q2703" s="74"/>
      <c r="R2703" s="74"/>
      <c r="S2703" s="74"/>
      <c r="T2703" s="74"/>
      <c r="U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  <c r="IW2703" s="74"/>
      <c r="IX2703" s="74"/>
      <c r="IY2703" s="74"/>
      <c r="IZ2703" s="74"/>
      <c r="JA2703" s="74"/>
    </row>
    <row r="2704" spans="1:261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Q2704" s="74"/>
      <c r="R2704" s="74"/>
      <c r="S2704" s="74"/>
      <c r="T2704" s="74"/>
      <c r="U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  <c r="IW2704" s="74"/>
      <c r="IX2704" s="74"/>
      <c r="IY2704" s="74"/>
      <c r="IZ2704" s="74"/>
      <c r="JA2704" s="74"/>
    </row>
    <row r="2705" spans="1:261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Q2705" s="74"/>
      <c r="R2705" s="74"/>
      <c r="S2705" s="74"/>
      <c r="T2705" s="74"/>
      <c r="U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  <c r="IW2705" s="74"/>
      <c r="IX2705" s="74"/>
      <c r="IY2705" s="74"/>
      <c r="IZ2705" s="74"/>
      <c r="JA2705" s="74"/>
    </row>
    <row r="2706" spans="1:261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Q2706" s="74"/>
      <c r="R2706" s="74"/>
      <c r="S2706" s="74"/>
      <c r="T2706" s="74"/>
      <c r="U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  <c r="IW2706" s="74"/>
      <c r="IX2706" s="74"/>
      <c r="IY2706" s="74"/>
      <c r="IZ2706" s="74"/>
      <c r="JA2706" s="74"/>
    </row>
    <row r="2707" spans="1:261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Q2707" s="74"/>
      <c r="R2707" s="74"/>
      <c r="S2707" s="74"/>
      <c r="T2707" s="74"/>
      <c r="U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  <c r="IW2707" s="74"/>
      <c r="IX2707" s="74"/>
      <c r="IY2707" s="74"/>
      <c r="IZ2707" s="74"/>
      <c r="JA2707" s="74"/>
    </row>
    <row r="2708" spans="1:261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Q2708" s="74"/>
      <c r="R2708" s="74"/>
      <c r="S2708" s="74"/>
      <c r="T2708" s="74"/>
      <c r="U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  <c r="IW2708" s="74"/>
      <c r="IX2708" s="74"/>
      <c r="IY2708" s="74"/>
      <c r="IZ2708" s="74"/>
      <c r="JA2708" s="74"/>
    </row>
    <row r="2709" spans="1:261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Q2709" s="74"/>
      <c r="R2709" s="74"/>
      <c r="S2709" s="74"/>
      <c r="T2709" s="74"/>
      <c r="U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  <c r="IW2709" s="74"/>
      <c r="IX2709" s="74"/>
      <c r="IY2709" s="74"/>
      <c r="IZ2709" s="74"/>
      <c r="JA2709" s="74"/>
    </row>
    <row r="2710" spans="1:261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Q2710" s="74"/>
      <c r="R2710" s="74"/>
      <c r="S2710" s="74"/>
      <c r="T2710" s="74"/>
      <c r="U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  <c r="IW2710" s="74"/>
      <c r="IX2710" s="74"/>
      <c r="IY2710" s="74"/>
      <c r="IZ2710" s="74"/>
      <c r="JA2710" s="74"/>
    </row>
    <row r="2711" spans="1:261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Q2711" s="74"/>
      <c r="R2711" s="74"/>
      <c r="S2711" s="74"/>
      <c r="T2711" s="74"/>
      <c r="U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  <c r="IW2711" s="74"/>
      <c r="IX2711" s="74"/>
      <c r="IY2711" s="74"/>
      <c r="IZ2711" s="74"/>
      <c r="JA2711" s="74"/>
    </row>
    <row r="2712" spans="1:261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Q2712" s="74"/>
      <c r="R2712" s="74"/>
      <c r="S2712" s="74"/>
      <c r="T2712" s="74"/>
      <c r="U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  <c r="IW2712" s="74"/>
      <c r="IX2712" s="74"/>
      <c r="IY2712" s="74"/>
      <c r="IZ2712" s="74"/>
      <c r="JA2712" s="74"/>
    </row>
    <row r="2713" spans="1:261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Q2713" s="74"/>
      <c r="R2713" s="74"/>
      <c r="S2713" s="74"/>
      <c r="T2713" s="74"/>
      <c r="U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  <c r="IW2713" s="74"/>
      <c r="IX2713" s="74"/>
      <c r="IY2713" s="74"/>
      <c r="IZ2713" s="74"/>
      <c r="JA2713" s="74"/>
    </row>
    <row r="2714" spans="1:261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Q2714" s="74"/>
      <c r="R2714" s="74"/>
      <c r="S2714" s="74"/>
      <c r="T2714" s="74"/>
      <c r="U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  <c r="IW2714" s="74"/>
      <c r="IX2714" s="74"/>
      <c r="IY2714" s="74"/>
      <c r="IZ2714" s="74"/>
      <c r="JA2714" s="74"/>
    </row>
    <row r="2715" spans="1:261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Q2715" s="74"/>
      <c r="R2715" s="74"/>
      <c r="S2715" s="74"/>
      <c r="T2715" s="74"/>
      <c r="U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  <c r="IW2715" s="74"/>
      <c r="IX2715" s="74"/>
      <c r="IY2715" s="74"/>
      <c r="IZ2715" s="74"/>
      <c r="JA2715" s="74"/>
    </row>
    <row r="2716" spans="1:261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Q2716" s="74"/>
      <c r="R2716" s="74"/>
      <c r="S2716" s="74"/>
      <c r="T2716" s="74"/>
      <c r="U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  <c r="IW2716" s="74"/>
      <c r="IX2716" s="74"/>
      <c r="IY2716" s="74"/>
      <c r="IZ2716" s="74"/>
      <c r="JA2716" s="74"/>
    </row>
    <row r="2717" spans="1:261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Q2717" s="74"/>
      <c r="R2717" s="74"/>
      <c r="S2717" s="74"/>
      <c r="T2717" s="74"/>
      <c r="U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  <c r="IW2717" s="74"/>
      <c r="IX2717" s="74"/>
      <c r="IY2717" s="74"/>
      <c r="IZ2717" s="74"/>
      <c r="JA2717" s="74"/>
    </row>
    <row r="2718" spans="1:261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Q2718" s="74"/>
      <c r="R2718" s="74"/>
      <c r="S2718" s="74"/>
      <c r="T2718" s="74"/>
      <c r="U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  <c r="IW2718" s="74"/>
      <c r="IX2718" s="74"/>
      <c r="IY2718" s="74"/>
      <c r="IZ2718" s="74"/>
      <c r="JA2718" s="74"/>
    </row>
    <row r="2719" spans="1:261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Q2719" s="74"/>
      <c r="R2719" s="74"/>
      <c r="S2719" s="74"/>
      <c r="T2719" s="74"/>
      <c r="U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  <c r="IW2719" s="74"/>
      <c r="IX2719" s="74"/>
      <c r="IY2719" s="74"/>
      <c r="IZ2719" s="74"/>
      <c r="JA2719" s="74"/>
    </row>
    <row r="2720" spans="1:261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Q2720" s="74"/>
      <c r="R2720" s="74"/>
      <c r="S2720" s="74"/>
      <c r="T2720" s="74"/>
      <c r="U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  <c r="IW2720" s="74"/>
      <c r="IX2720" s="74"/>
      <c r="IY2720" s="74"/>
      <c r="IZ2720" s="74"/>
      <c r="JA2720" s="74"/>
    </row>
    <row r="2721" spans="1:261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Q2721" s="74"/>
      <c r="R2721" s="74"/>
      <c r="S2721" s="74"/>
      <c r="T2721" s="74"/>
      <c r="U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  <c r="IW2721" s="74"/>
      <c r="IX2721" s="74"/>
      <c r="IY2721" s="74"/>
      <c r="IZ2721" s="74"/>
      <c r="JA2721" s="74"/>
    </row>
    <row r="2722" spans="1:261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Q2722" s="74"/>
      <c r="R2722" s="74"/>
      <c r="S2722" s="74"/>
      <c r="T2722" s="74"/>
      <c r="U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  <c r="IW2722" s="74"/>
      <c r="IX2722" s="74"/>
      <c r="IY2722" s="74"/>
      <c r="IZ2722" s="74"/>
      <c r="JA2722" s="74"/>
    </row>
    <row r="2723" spans="1:261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Q2723" s="74"/>
      <c r="R2723" s="74"/>
      <c r="S2723" s="74"/>
      <c r="T2723" s="74"/>
      <c r="U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  <c r="IW2723" s="74"/>
      <c r="IX2723" s="74"/>
      <c r="IY2723" s="74"/>
      <c r="IZ2723" s="74"/>
      <c r="JA2723" s="74"/>
    </row>
    <row r="2724" spans="1:261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Q2724" s="74"/>
      <c r="R2724" s="74"/>
      <c r="S2724" s="74"/>
      <c r="T2724" s="74"/>
      <c r="U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  <c r="IW2724" s="74"/>
      <c r="IX2724" s="74"/>
      <c r="IY2724" s="74"/>
      <c r="IZ2724" s="74"/>
      <c r="JA2724" s="74"/>
    </row>
    <row r="2725" spans="1:261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Q2725" s="74"/>
      <c r="R2725" s="74"/>
      <c r="S2725" s="74"/>
      <c r="T2725" s="74"/>
      <c r="U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  <c r="IW2725" s="74"/>
      <c r="IX2725" s="74"/>
      <c r="IY2725" s="74"/>
      <c r="IZ2725" s="74"/>
      <c r="JA2725" s="74"/>
    </row>
    <row r="2726" spans="1:261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Q2726" s="74"/>
      <c r="R2726" s="74"/>
      <c r="S2726" s="74"/>
      <c r="T2726" s="74"/>
      <c r="U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  <c r="IW2726" s="74"/>
      <c r="IX2726" s="74"/>
      <c r="IY2726" s="74"/>
      <c r="IZ2726" s="74"/>
      <c r="JA2726" s="74"/>
    </row>
    <row r="2727" spans="1:261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Q2727" s="74"/>
      <c r="R2727" s="74"/>
      <c r="S2727" s="74"/>
      <c r="T2727" s="74"/>
      <c r="U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  <c r="IW2727" s="74"/>
      <c r="IX2727" s="74"/>
      <c r="IY2727" s="74"/>
      <c r="IZ2727" s="74"/>
      <c r="JA2727" s="74"/>
    </row>
    <row r="2728" spans="1:261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Q2728" s="74"/>
      <c r="R2728" s="74"/>
      <c r="S2728" s="74"/>
      <c r="T2728" s="74"/>
      <c r="U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  <c r="IW2728" s="74"/>
      <c r="IX2728" s="74"/>
      <c r="IY2728" s="74"/>
      <c r="IZ2728" s="74"/>
      <c r="JA2728" s="74"/>
    </row>
    <row r="2729" spans="1:261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Q2729" s="74"/>
      <c r="R2729" s="74"/>
      <c r="S2729" s="74"/>
      <c r="T2729" s="74"/>
      <c r="U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  <c r="IW2729" s="74"/>
      <c r="IX2729" s="74"/>
      <c r="IY2729" s="74"/>
      <c r="IZ2729" s="74"/>
      <c r="JA2729" s="74"/>
    </row>
    <row r="2730" spans="1:261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Q2730" s="74"/>
      <c r="R2730" s="74"/>
      <c r="S2730" s="74"/>
      <c r="T2730" s="74"/>
      <c r="U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  <c r="IW2730" s="74"/>
      <c r="IX2730" s="74"/>
      <c r="IY2730" s="74"/>
      <c r="IZ2730" s="74"/>
      <c r="JA2730" s="74"/>
    </row>
    <row r="2731" spans="1:261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Q2731" s="74"/>
      <c r="R2731" s="74"/>
      <c r="S2731" s="74"/>
      <c r="T2731" s="74"/>
      <c r="U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  <c r="IW2731" s="74"/>
      <c r="IX2731" s="74"/>
      <c r="IY2731" s="74"/>
      <c r="IZ2731" s="74"/>
      <c r="JA2731" s="74"/>
    </row>
    <row r="2732" spans="1:261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Q2732" s="74"/>
      <c r="R2732" s="74"/>
      <c r="S2732" s="74"/>
      <c r="T2732" s="74"/>
      <c r="U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  <c r="IW2732" s="74"/>
      <c r="IX2732" s="74"/>
      <c r="IY2732" s="74"/>
      <c r="IZ2732" s="74"/>
      <c r="JA2732" s="74"/>
    </row>
    <row r="2733" spans="1:261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Q2733" s="74"/>
      <c r="R2733" s="74"/>
      <c r="S2733" s="74"/>
      <c r="T2733" s="74"/>
      <c r="U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  <c r="IW2733" s="74"/>
      <c r="IX2733" s="74"/>
      <c r="IY2733" s="74"/>
      <c r="IZ2733" s="74"/>
      <c r="JA2733" s="74"/>
    </row>
    <row r="2734" spans="1:261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Q2734" s="74"/>
      <c r="R2734" s="74"/>
      <c r="S2734" s="74"/>
      <c r="T2734" s="74"/>
      <c r="U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  <c r="IW2734" s="74"/>
      <c r="IX2734" s="74"/>
      <c r="IY2734" s="74"/>
      <c r="IZ2734" s="74"/>
      <c r="JA2734" s="74"/>
    </row>
    <row r="2735" spans="1:261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Q2735" s="74"/>
      <c r="R2735" s="74"/>
      <c r="S2735" s="74"/>
      <c r="T2735" s="74"/>
      <c r="U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  <c r="IW2735" s="74"/>
      <c r="IX2735" s="74"/>
      <c r="IY2735" s="74"/>
      <c r="IZ2735" s="74"/>
      <c r="JA2735" s="74"/>
    </row>
    <row r="2736" spans="1:261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Q2736" s="74"/>
      <c r="R2736" s="74"/>
      <c r="S2736" s="74"/>
      <c r="T2736" s="74"/>
      <c r="U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  <c r="IW2736" s="74"/>
      <c r="IX2736" s="74"/>
      <c r="IY2736" s="74"/>
      <c r="IZ2736" s="74"/>
      <c r="JA2736" s="74"/>
    </row>
    <row r="2737" spans="1:261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Q2737" s="74"/>
      <c r="R2737" s="74"/>
      <c r="S2737" s="74"/>
      <c r="T2737" s="74"/>
      <c r="U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  <c r="IW2737" s="74"/>
      <c r="IX2737" s="74"/>
      <c r="IY2737" s="74"/>
      <c r="IZ2737" s="74"/>
      <c r="JA2737" s="74"/>
    </row>
    <row r="2738" spans="1:261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Q2738" s="74"/>
      <c r="R2738" s="74"/>
      <c r="S2738" s="74"/>
      <c r="T2738" s="74"/>
      <c r="U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  <c r="IW2738" s="74"/>
      <c r="IX2738" s="74"/>
      <c r="IY2738" s="74"/>
      <c r="IZ2738" s="74"/>
      <c r="JA2738" s="74"/>
    </row>
    <row r="2739" spans="1:261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Q2739" s="74"/>
      <c r="R2739" s="74"/>
      <c r="S2739" s="74"/>
      <c r="T2739" s="74"/>
      <c r="U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  <c r="IW2739" s="74"/>
      <c r="IX2739" s="74"/>
      <c r="IY2739" s="74"/>
      <c r="IZ2739" s="74"/>
      <c r="JA2739" s="74"/>
    </row>
    <row r="2740" spans="1:261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Q2740" s="74"/>
      <c r="R2740" s="74"/>
      <c r="S2740" s="74"/>
      <c r="T2740" s="74"/>
      <c r="U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  <c r="IW2740" s="74"/>
      <c r="IX2740" s="74"/>
      <c r="IY2740" s="74"/>
      <c r="IZ2740" s="74"/>
      <c r="JA2740" s="74"/>
    </row>
    <row r="2741" spans="1:261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Q2741" s="74"/>
      <c r="R2741" s="74"/>
      <c r="S2741" s="74"/>
      <c r="T2741" s="74"/>
      <c r="U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  <c r="IW2741" s="74"/>
      <c r="IX2741" s="74"/>
      <c r="IY2741" s="74"/>
      <c r="IZ2741" s="74"/>
      <c r="JA2741" s="74"/>
    </row>
    <row r="2742" spans="1:261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Q2742" s="74"/>
      <c r="R2742" s="74"/>
      <c r="S2742" s="74"/>
      <c r="T2742" s="74"/>
      <c r="U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  <c r="IW2742" s="74"/>
      <c r="IX2742" s="74"/>
      <c r="IY2742" s="74"/>
      <c r="IZ2742" s="74"/>
      <c r="JA2742" s="74"/>
    </row>
    <row r="2743" spans="1:261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Q2743" s="74"/>
      <c r="R2743" s="74"/>
      <c r="S2743" s="74"/>
      <c r="T2743" s="74"/>
      <c r="U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  <c r="IW2743" s="74"/>
      <c r="IX2743" s="74"/>
      <c r="IY2743" s="74"/>
      <c r="IZ2743" s="74"/>
      <c r="JA2743" s="74"/>
    </row>
    <row r="2744" spans="1:261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Q2744" s="74"/>
      <c r="R2744" s="74"/>
      <c r="S2744" s="74"/>
      <c r="T2744" s="74"/>
      <c r="U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  <c r="IW2744" s="74"/>
      <c r="IX2744" s="74"/>
      <c r="IY2744" s="74"/>
      <c r="IZ2744" s="74"/>
      <c r="JA2744" s="74"/>
    </row>
    <row r="2745" spans="1:261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Q2745" s="74"/>
      <c r="R2745" s="74"/>
      <c r="S2745" s="74"/>
      <c r="T2745" s="74"/>
      <c r="U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  <c r="IW2745" s="74"/>
      <c r="IX2745" s="74"/>
      <c r="IY2745" s="74"/>
      <c r="IZ2745" s="74"/>
      <c r="JA2745" s="74"/>
    </row>
    <row r="2746" spans="1:261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Q2746" s="74"/>
      <c r="R2746" s="74"/>
      <c r="S2746" s="74"/>
      <c r="T2746" s="74"/>
      <c r="U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  <c r="IW2746" s="74"/>
      <c r="IX2746" s="74"/>
      <c r="IY2746" s="74"/>
      <c r="IZ2746" s="74"/>
      <c r="JA2746" s="74"/>
    </row>
    <row r="2747" spans="1:261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Q2747" s="74"/>
      <c r="R2747" s="74"/>
      <c r="S2747" s="74"/>
      <c r="T2747" s="74"/>
      <c r="U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  <c r="IW2747" s="74"/>
      <c r="IX2747" s="74"/>
      <c r="IY2747" s="74"/>
      <c r="IZ2747" s="74"/>
      <c r="JA2747" s="74"/>
    </row>
    <row r="2748" spans="1:261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Q2748" s="74"/>
      <c r="R2748" s="74"/>
      <c r="S2748" s="74"/>
      <c r="T2748" s="74"/>
      <c r="U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  <c r="IW2748" s="74"/>
      <c r="IX2748" s="74"/>
      <c r="IY2748" s="74"/>
      <c r="IZ2748" s="74"/>
      <c r="JA2748" s="74"/>
    </row>
    <row r="2749" spans="1:261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Q2749" s="74"/>
      <c r="R2749" s="74"/>
      <c r="S2749" s="74"/>
      <c r="T2749" s="74"/>
      <c r="U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  <c r="IW2749" s="74"/>
      <c r="IX2749" s="74"/>
      <c r="IY2749" s="74"/>
      <c r="IZ2749" s="74"/>
      <c r="JA2749" s="74"/>
    </row>
    <row r="2750" spans="1:261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Q2750" s="74"/>
      <c r="R2750" s="74"/>
      <c r="S2750" s="74"/>
      <c r="T2750" s="74"/>
      <c r="U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  <c r="IW2750" s="74"/>
      <c r="IX2750" s="74"/>
      <c r="IY2750" s="74"/>
      <c r="IZ2750" s="74"/>
      <c r="JA2750" s="74"/>
    </row>
    <row r="2751" spans="1:261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Q2751" s="74"/>
      <c r="R2751" s="74"/>
      <c r="S2751" s="74"/>
      <c r="T2751" s="74"/>
      <c r="U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  <c r="IW2751" s="74"/>
      <c r="IX2751" s="74"/>
      <c r="IY2751" s="74"/>
      <c r="IZ2751" s="74"/>
      <c r="JA2751" s="74"/>
    </row>
    <row r="2752" spans="1:261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Q2752" s="74"/>
      <c r="R2752" s="74"/>
      <c r="S2752" s="74"/>
      <c r="T2752" s="74"/>
      <c r="U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  <c r="IW2752" s="74"/>
      <c r="IX2752" s="74"/>
      <c r="IY2752" s="74"/>
      <c r="IZ2752" s="74"/>
      <c r="JA2752" s="74"/>
    </row>
    <row r="2753" spans="1:261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Q2753" s="74"/>
      <c r="R2753" s="74"/>
      <c r="S2753" s="74"/>
      <c r="T2753" s="74"/>
      <c r="U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  <c r="IW2753" s="74"/>
      <c r="IX2753" s="74"/>
      <c r="IY2753" s="74"/>
      <c r="IZ2753" s="74"/>
      <c r="JA2753" s="74"/>
    </row>
    <row r="2754" spans="1:261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Q2754" s="74"/>
      <c r="R2754" s="74"/>
      <c r="S2754" s="74"/>
      <c r="T2754" s="74"/>
      <c r="U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  <c r="IW2754" s="74"/>
      <c r="IX2754" s="74"/>
      <c r="IY2754" s="74"/>
      <c r="IZ2754" s="74"/>
      <c r="JA2754" s="74"/>
    </row>
    <row r="2755" spans="1:261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Q2755" s="74"/>
      <c r="R2755" s="74"/>
      <c r="S2755" s="74"/>
      <c r="T2755" s="74"/>
      <c r="U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  <c r="IW2755" s="74"/>
      <c r="IX2755" s="74"/>
      <c r="IY2755" s="74"/>
      <c r="IZ2755" s="74"/>
      <c r="JA2755" s="74"/>
    </row>
    <row r="2756" spans="1:261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Q2756" s="74"/>
      <c r="R2756" s="74"/>
      <c r="S2756" s="74"/>
      <c r="T2756" s="74"/>
      <c r="U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  <c r="IW2756" s="74"/>
      <c r="IX2756" s="74"/>
      <c r="IY2756" s="74"/>
      <c r="IZ2756" s="74"/>
      <c r="JA2756" s="74"/>
    </row>
    <row r="2757" spans="1:261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Q2757" s="74"/>
      <c r="R2757" s="74"/>
      <c r="S2757" s="74"/>
      <c r="T2757" s="74"/>
      <c r="U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  <c r="IW2757" s="74"/>
      <c r="IX2757" s="74"/>
      <c r="IY2757" s="74"/>
      <c r="IZ2757" s="74"/>
      <c r="JA2757" s="74"/>
    </row>
    <row r="2758" spans="1:261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Q2758" s="74"/>
      <c r="R2758" s="74"/>
      <c r="S2758" s="74"/>
      <c r="T2758" s="74"/>
      <c r="U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  <c r="IW2758" s="74"/>
      <c r="IX2758" s="74"/>
      <c r="IY2758" s="74"/>
      <c r="IZ2758" s="74"/>
      <c r="JA2758" s="74"/>
    </row>
    <row r="2759" spans="1:261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Q2759" s="74"/>
      <c r="R2759" s="74"/>
      <c r="S2759" s="74"/>
      <c r="T2759" s="74"/>
      <c r="U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  <c r="IW2759" s="74"/>
      <c r="IX2759" s="74"/>
      <c r="IY2759" s="74"/>
      <c r="IZ2759" s="74"/>
      <c r="JA2759" s="74"/>
    </row>
    <row r="2760" spans="1:261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Q2760" s="74"/>
      <c r="R2760" s="74"/>
      <c r="S2760" s="74"/>
      <c r="T2760" s="74"/>
      <c r="U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  <c r="IW2760" s="74"/>
      <c r="IX2760" s="74"/>
      <c r="IY2760" s="74"/>
      <c r="IZ2760" s="74"/>
      <c r="JA2760" s="74"/>
    </row>
    <row r="2761" spans="1:261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Q2761" s="74"/>
      <c r="R2761" s="74"/>
      <c r="S2761" s="74"/>
      <c r="T2761" s="74"/>
      <c r="U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  <c r="IW2761" s="74"/>
      <c r="IX2761" s="74"/>
      <c r="IY2761" s="74"/>
      <c r="IZ2761" s="74"/>
      <c r="JA2761" s="74"/>
    </row>
    <row r="2762" spans="1:261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Q2762" s="74"/>
      <c r="R2762" s="74"/>
      <c r="S2762" s="74"/>
      <c r="T2762" s="74"/>
      <c r="U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  <c r="IW2762" s="74"/>
      <c r="IX2762" s="74"/>
      <c r="IY2762" s="74"/>
      <c r="IZ2762" s="74"/>
      <c r="JA2762" s="74"/>
    </row>
    <row r="2763" spans="1:261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Q2763" s="74"/>
      <c r="R2763" s="74"/>
      <c r="S2763" s="74"/>
      <c r="T2763" s="74"/>
      <c r="U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  <c r="IW2763" s="74"/>
      <c r="IX2763" s="74"/>
      <c r="IY2763" s="74"/>
      <c r="IZ2763" s="74"/>
      <c r="JA2763" s="74"/>
    </row>
    <row r="2764" spans="1:261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Q2764" s="74"/>
      <c r="R2764" s="74"/>
      <c r="S2764" s="74"/>
      <c r="T2764" s="74"/>
      <c r="U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  <c r="IW2764" s="74"/>
      <c r="IX2764" s="74"/>
      <c r="IY2764" s="74"/>
      <c r="IZ2764" s="74"/>
      <c r="JA2764" s="74"/>
    </row>
    <row r="2765" spans="1:261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Q2765" s="74"/>
      <c r="R2765" s="74"/>
      <c r="S2765" s="74"/>
      <c r="T2765" s="74"/>
      <c r="U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  <c r="IW2765" s="74"/>
      <c r="IX2765" s="74"/>
      <c r="IY2765" s="74"/>
      <c r="IZ2765" s="74"/>
      <c r="JA2765" s="74"/>
    </row>
    <row r="2766" spans="1:261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Q2766" s="74"/>
      <c r="R2766" s="74"/>
      <c r="S2766" s="74"/>
      <c r="T2766" s="74"/>
      <c r="U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  <c r="IW2766" s="74"/>
      <c r="IX2766" s="74"/>
      <c r="IY2766" s="74"/>
      <c r="IZ2766" s="74"/>
      <c r="JA2766" s="74"/>
    </row>
    <row r="2767" spans="1:261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Q2767" s="74"/>
      <c r="R2767" s="74"/>
      <c r="S2767" s="74"/>
      <c r="T2767" s="74"/>
      <c r="U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  <c r="IW2767" s="74"/>
      <c r="IX2767" s="74"/>
      <c r="IY2767" s="74"/>
      <c r="IZ2767" s="74"/>
      <c r="JA2767" s="74"/>
    </row>
    <row r="2768" spans="1:261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Q2768" s="74"/>
      <c r="R2768" s="74"/>
      <c r="S2768" s="74"/>
      <c r="T2768" s="74"/>
      <c r="U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  <c r="IW2768" s="74"/>
      <c r="IX2768" s="74"/>
      <c r="IY2768" s="74"/>
      <c r="IZ2768" s="74"/>
      <c r="JA2768" s="74"/>
    </row>
    <row r="2769" spans="1:261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Q2769" s="74"/>
      <c r="R2769" s="74"/>
      <c r="S2769" s="74"/>
      <c r="T2769" s="74"/>
      <c r="U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  <c r="IW2769" s="74"/>
      <c r="IX2769" s="74"/>
      <c r="IY2769" s="74"/>
      <c r="IZ2769" s="74"/>
      <c r="JA2769" s="74"/>
    </row>
    <row r="2770" spans="1:261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Q2770" s="74"/>
      <c r="R2770" s="74"/>
      <c r="S2770" s="74"/>
      <c r="T2770" s="74"/>
      <c r="U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  <c r="IW2770" s="74"/>
      <c r="IX2770" s="74"/>
      <c r="IY2770" s="74"/>
      <c r="IZ2770" s="74"/>
      <c r="JA2770" s="74"/>
    </row>
    <row r="2771" spans="1:261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Q2771" s="74"/>
      <c r="R2771" s="74"/>
      <c r="S2771" s="74"/>
      <c r="T2771" s="74"/>
      <c r="U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  <c r="IW2771" s="74"/>
      <c r="IX2771" s="74"/>
      <c r="IY2771" s="74"/>
      <c r="IZ2771" s="74"/>
      <c r="JA2771" s="74"/>
    </row>
    <row r="2772" spans="1:261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Q2772" s="74"/>
      <c r="R2772" s="74"/>
      <c r="S2772" s="74"/>
      <c r="T2772" s="74"/>
      <c r="U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  <c r="IW2772" s="74"/>
      <c r="IX2772" s="74"/>
      <c r="IY2772" s="74"/>
      <c r="IZ2772" s="74"/>
      <c r="JA2772" s="74"/>
    </row>
    <row r="2773" spans="1:261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Q2773" s="74"/>
      <c r="R2773" s="74"/>
      <c r="S2773" s="74"/>
      <c r="T2773" s="74"/>
      <c r="U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  <c r="IW2773" s="74"/>
      <c r="IX2773" s="74"/>
      <c r="IY2773" s="74"/>
      <c r="IZ2773" s="74"/>
      <c r="JA2773" s="74"/>
    </row>
    <row r="2774" spans="1:261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Q2774" s="74"/>
      <c r="R2774" s="74"/>
      <c r="S2774" s="74"/>
      <c r="T2774" s="74"/>
      <c r="U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  <c r="IW2774" s="74"/>
      <c r="IX2774" s="74"/>
      <c r="IY2774" s="74"/>
      <c r="IZ2774" s="74"/>
      <c r="JA2774" s="74"/>
    </row>
    <row r="2775" spans="1:261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Q2775" s="74"/>
      <c r="R2775" s="74"/>
      <c r="S2775" s="74"/>
      <c r="T2775" s="74"/>
      <c r="U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  <c r="IW2775" s="74"/>
      <c r="IX2775" s="74"/>
      <c r="IY2775" s="74"/>
      <c r="IZ2775" s="74"/>
      <c r="JA2775" s="74"/>
    </row>
    <row r="2776" spans="1:261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Q2776" s="74"/>
      <c r="R2776" s="74"/>
      <c r="S2776" s="74"/>
      <c r="T2776" s="74"/>
      <c r="U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  <c r="IW2776" s="74"/>
      <c r="IX2776" s="74"/>
      <c r="IY2776" s="74"/>
      <c r="IZ2776" s="74"/>
      <c r="JA2776" s="74"/>
    </row>
    <row r="2777" spans="1:261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Q2777" s="74"/>
      <c r="R2777" s="74"/>
      <c r="S2777" s="74"/>
      <c r="T2777" s="74"/>
      <c r="U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  <c r="IW2777" s="74"/>
      <c r="IX2777" s="74"/>
      <c r="IY2777" s="74"/>
      <c r="IZ2777" s="74"/>
      <c r="JA2777" s="74"/>
    </row>
    <row r="2778" spans="1:261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Q2778" s="74"/>
      <c r="R2778" s="74"/>
      <c r="S2778" s="74"/>
      <c r="T2778" s="74"/>
      <c r="U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  <c r="IW2778" s="74"/>
      <c r="IX2778" s="74"/>
      <c r="IY2778" s="74"/>
      <c r="IZ2778" s="74"/>
      <c r="JA2778" s="74"/>
    </row>
    <row r="2779" spans="1:261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Q2779" s="74"/>
      <c r="R2779" s="74"/>
      <c r="S2779" s="74"/>
      <c r="T2779" s="74"/>
      <c r="U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  <c r="IW2779" s="74"/>
      <c r="IX2779" s="74"/>
      <c r="IY2779" s="74"/>
      <c r="IZ2779" s="74"/>
      <c r="JA2779" s="74"/>
    </row>
    <row r="2780" spans="1:261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Q2780" s="74"/>
      <c r="R2780" s="74"/>
      <c r="S2780" s="74"/>
      <c r="T2780" s="74"/>
      <c r="U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  <c r="IW2780" s="74"/>
      <c r="IX2780" s="74"/>
      <c r="IY2780" s="74"/>
      <c r="IZ2780" s="74"/>
      <c r="JA2780" s="74"/>
    </row>
    <row r="2781" spans="1:261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Q2781" s="74"/>
      <c r="R2781" s="74"/>
      <c r="S2781" s="74"/>
      <c r="T2781" s="74"/>
      <c r="U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  <c r="IW2781" s="74"/>
      <c r="IX2781" s="74"/>
      <c r="IY2781" s="74"/>
      <c r="IZ2781" s="74"/>
      <c r="JA2781" s="74"/>
    </row>
    <row r="2782" spans="1:261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Q2782" s="74"/>
      <c r="R2782" s="74"/>
      <c r="S2782" s="74"/>
      <c r="T2782" s="74"/>
      <c r="U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  <c r="IW2782" s="74"/>
      <c r="IX2782" s="74"/>
      <c r="IY2782" s="74"/>
      <c r="IZ2782" s="74"/>
      <c r="JA2782" s="74"/>
    </row>
    <row r="2783" spans="1:261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Q2783" s="74"/>
      <c r="R2783" s="74"/>
      <c r="S2783" s="74"/>
      <c r="T2783" s="74"/>
      <c r="U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  <c r="IW2783" s="74"/>
      <c r="IX2783" s="74"/>
      <c r="IY2783" s="74"/>
      <c r="IZ2783" s="74"/>
      <c r="JA2783" s="74"/>
    </row>
    <row r="2784" spans="1:261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Q2784" s="74"/>
      <c r="R2784" s="74"/>
      <c r="S2784" s="74"/>
      <c r="T2784" s="74"/>
      <c r="U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  <c r="IW2784" s="74"/>
      <c r="IX2784" s="74"/>
      <c r="IY2784" s="74"/>
      <c r="IZ2784" s="74"/>
      <c r="JA2784" s="74"/>
    </row>
    <row r="2785" spans="1:261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Q2785" s="74"/>
      <c r="R2785" s="74"/>
      <c r="S2785" s="74"/>
      <c r="T2785" s="74"/>
      <c r="U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  <c r="IW2785" s="74"/>
      <c r="IX2785" s="74"/>
      <c r="IY2785" s="74"/>
      <c r="IZ2785" s="74"/>
      <c r="JA2785" s="74"/>
    </row>
    <row r="2786" spans="1:261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Q2786" s="74"/>
      <c r="R2786" s="74"/>
      <c r="S2786" s="74"/>
      <c r="T2786" s="74"/>
      <c r="U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  <c r="IW2786" s="74"/>
      <c r="IX2786" s="74"/>
      <c r="IY2786" s="74"/>
      <c r="IZ2786" s="74"/>
      <c r="JA2786" s="74"/>
    </row>
    <row r="2787" spans="1:261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Q2787" s="74"/>
      <c r="R2787" s="74"/>
      <c r="S2787" s="74"/>
      <c r="T2787" s="74"/>
      <c r="U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  <c r="IW2787" s="74"/>
      <c r="IX2787" s="74"/>
      <c r="IY2787" s="74"/>
      <c r="IZ2787" s="74"/>
      <c r="JA2787" s="74"/>
    </row>
    <row r="2788" spans="1:261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Q2788" s="74"/>
      <c r="R2788" s="74"/>
      <c r="S2788" s="74"/>
      <c r="T2788" s="74"/>
      <c r="U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  <c r="IW2788" s="74"/>
      <c r="IX2788" s="74"/>
      <c r="IY2788" s="74"/>
      <c r="IZ2788" s="74"/>
      <c r="JA2788" s="74"/>
    </row>
    <row r="2789" spans="1:261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Q2789" s="74"/>
      <c r="R2789" s="74"/>
      <c r="S2789" s="74"/>
      <c r="T2789" s="74"/>
      <c r="U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  <c r="IW2789" s="74"/>
      <c r="IX2789" s="74"/>
      <c r="IY2789" s="74"/>
      <c r="IZ2789" s="74"/>
      <c r="JA2789" s="74"/>
    </row>
    <row r="2790" spans="1:261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Q2790" s="74"/>
      <c r="R2790" s="74"/>
      <c r="S2790" s="74"/>
      <c r="T2790" s="74"/>
      <c r="U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  <c r="IW2790" s="74"/>
      <c r="IX2790" s="74"/>
      <c r="IY2790" s="74"/>
      <c r="IZ2790" s="74"/>
      <c r="JA2790" s="74"/>
    </row>
    <row r="2791" spans="1:261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Q2791" s="74"/>
      <c r="R2791" s="74"/>
      <c r="S2791" s="74"/>
      <c r="T2791" s="74"/>
      <c r="U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  <c r="IW2791" s="74"/>
      <c r="IX2791" s="74"/>
      <c r="IY2791" s="74"/>
      <c r="IZ2791" s="74"/>
      <c r="JA2791" s="74"/>
    </row>
    <row r="2792" spans="1:261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Q2792" s="74"/>
      <c r="R2792" s="74"/>
      <c r="S2792" s="74"/>
      <c r="T2792" s="74"/>
      <c r="U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  <c r="IW2792" s="74"/>
      <c r="IX2792" s="74"/>
      <c r="IY2792" s="74"/>
      <c r="IZ2792" s="74"/>
      <c r="JA2792" s="74"/>
    </row>
    <row r="2793" spans="1:261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Q2793" s="74"/>
      <c r="R2793" s="74"/>
      <c r="S2793" s="74"/>
      <c r="T2793" s="74"/>
      <c r="U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  <c r="IW2793" s="74"/>
      <c r="IX2793" s="74"/>
      <c r="IY2793" s="74"/>
      <c r="IZ2793" s="74"/>
      <c r="JA2793" s="74"/>
    </row>
    <row r="2794" spans="1:261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Q2794" s="74"/>
      <c r="R2794" s="74"/>
      <c r="S2794" s="74"/>
      <c r="T2794" s="74"/>
      <c r="U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  <c r="IW2794" s="74"/>
      <c r="IX2794" s="74"/>
      <c r="IY2794" s="74"/>
      <c r="IZ2794" s="74"/>
      <c r="JA2794" s="74"/>
    </row>
    <row r="2795" spans="1:261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Q2795" s="74"/>
      <c r="R2795" s="74"/>
      <c r="S2795" s="74"/>
      <c r="T2795" s="74"/>
      <c r="U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  <c r="IW2795" s="74"/>
      <c r="IX2795" s="74"/>
      <c r="IY2795" s="74"/>
      <c r="IZ2795" s="74"/>
      <c r="JA2795" s="74"/>
    </row>
    <row r="2796" spans="1:261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Q2796" s="74"/>
      <c r="R2796" s="74"/>
      <c r="S2796" s="74"/>
      <c r="T2796" s="74"/>
      <c r="U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  <c r="IW2796" s="74"/>
      <c r="IX2796" s="74"/>
      <c r="IY2796" s="74"/>
      <c r="IZ2796" s="74"/>
      <c r="JA2796" s="74"/>
    </row>
    <row r="2797" spans="1:261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Q2797" s="74"/>
      <c r="R2797" s="74"/>
      <c r="S2797" s="74"/>
      <c r="T2797" s="74"/>
      <c r="U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  <c r="IW2797" s="74"/>
      <c r="IX2797" s="74"/>
      <c r="IY2797" s="74"/>
      <c r="IZ2797" s="74"/>
      <c r="JA2797" s="74"/>
    </row>
    <row r="2798" spans="1:261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Q2798" s="74"/>
      <c r="R2798" s="74"/>
      <c r="S2798" s="74"/>
      <c r="T2798" s="74"/>
      <c r="U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  <c r="IW2798" s="74"/>
      <c r="IX2798" s="74"/>
      <c r="IY2798" s="74"/>
      <c r="IZ2798" s="74"/>
      <c r="JA2798" s="74"/>
    </row>
    <row r="2799" spans="1:261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Q2799" s="74"/>
      <c r="R2799" s="74"/>
      <c r="S2799" s="74"/>
      <c r="T2799" s="74"/>
      <c r="U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  <c r="IW2799" s="74"/>
      <c r="IX2799" s="74"/>
      <c r="IY2799" s="74"/>
      <c r="IZ2799" s="74"/>
      <c r="JA2799" s="74"/>
    </row>
    <row r="2800" spans="1:261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Q2800" s="74"/>
      <c r="R2800" s="74"/>
      <c r="S2800" s="74"/>
      <c r="T2800" s="74"/>
      <c r="U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  <c r="IW2800" s="74"/>
      <c r="IX2800" s="74"/>
      <c r="IY2800" s="74"/>
      <c r="IZ2800" s="74"/>
      <c r="JA2800" s="74"/>
    </row>
    <row r="2801" spans="1:261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Q2801" s="74"/>
      <c r="R2801" s="74"/>
      <c r="S2801" s="74"/>
      <c r="T2801" s="74"/>
      <c r="U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  <c r="IW2801" s="74"/>
      <c r="IX2801" s="74"/>
      <c r="IY2801" s="74"/>
      <c r="IZ2801" s="74"/>
      <c r="JA2801" s="74"/>
    </row>
    <row r="2802" spans="1:261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Q2802" s="74"/>
      <c r="R2802" s="74"/>
      <c r="S2802" s="74"/>
      <c r="T2802" s="74"/>
      <c r="U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  <c r="IW2802" s="74"/>
      <c r="IX2802" s="74"/>
      <c r="IY2802" s="74"/>
      <c r="IZ2802" s="74"/>
      <c r="JA2802" s="74"/>
    </row>
    <row r="2803" spans="1:261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Q2803" s="74"/>
      <c r="R2803" s="74"/>
      <c r="S2803" s="74"/>
      <c r="T2803" s="74"/>
      <c r="U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  <c r="IW2803" s="74"/>
      <c r="IX2803" s="74"/>
      <c r="IY2803" s="74"/>
      <c r="IZ2803" s="74"/>
      <c r="JA2803" s="74"/>
    </row>
    <row r="2804" spans="1:261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Q2804" s="74"/>
      <c r="R2804" s="74"/>
      <c r="S2804" s="74"/>
      <c r="T2804" s="74"/>
      <c r="U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  <c r="IW2804" s="74"/>
      <c r="IX2804" s="74"/>
      <c r="IY2804" s="74"/>
      <c r="IZ2804" s="74"/>
      <c r="JA2804" s="74"/>
    </row>
    <row r="2805" spans="1:261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Q2805" s="74"/>
      <c r="R2805" s="74"/>
      <c r="S2805" s="74"/>
      <c r="T2805" s="74"/>
      <c r="U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  <c r="IW2805" s="74"/>
      <c r="IX2805" s="74"/>
      <c r="IY2805" s="74"/>
      <c r="IZ2805" s="74"/>
      <c r="JA2805" s="74"/>
    </row>
    <row r="2806" spans="1:261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Q2806" s="74"/>
      <c r="R2806" s="74"/>
      <c r="S2806" s="74"/>
      <c r="T2806" s="74"/>
      <c r="U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  <c r="IW2806" s="74"/>
      <c r="IX2806" s="74"/>
      <c r="IY2806" s="74"/>
      <c r="IZ2806" s="74"/>
      <c r="JA2806" s="74"/>
    </row>
    <row r="2807" spans="1:261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Q2807" s="74"/>
      <c r="R2807" s="74"/>
      <c r="S2807" s="74"/>
      <c r="T2807" s="74"/>
      <c r="U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  <c r="IW2807" s="74"/>
      <c r="IX2807" s="74"/>
      <c r="IY2807" s="74"/>
      <c r="IZ2807" s="74"/>
      <c r="JA2807" s="74"/>
    </row>
    <row r="2808" spans="1:261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Q2808" s="74"/>
      <c r="R2808" s="74"/>
      <c r="S2808" s="74"/>
      <c r="T2808" s="74"/>
      <c r="U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  <c r="IW2808" s="74"/>
      <c r="IX2808" s="74"/>
      <c r="IY2808" s="74"/>
      <c r="IZ2808" s="74"/>
      <c r="JA2808" s="74"/>
    </row>
    <row r="2809" spans="1:261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Q2809" s="74"/>
      <c r="R2809" s="74"/>
      <c r="S2809" s="74"/>
      <c r="T2809" s="74"/>
      <c r="U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  <c r="IW2809" s="74"/>
      <c r="IX2809" s="74"/>
      <c r="IY2809" s="74"/>
      <c r="IZ2809" s="74"/>
      <c r="JA2809" s="74"/>
    </row>
    <row r="2810" spans="1:261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Q2810" s="74"/>
      <c r="R2810" s="74"/>
      <c r="S2810" s="74"/>
      <c r="T2810" s="74"/>
      <c r="U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  <c r="IW2810" s="74"/>
      <c r="IX2810" s="74"/>
      <c r="IY2810" s="74"/>
      <c r="IZ2810" s="74"/>
      <c r="JA2810" s="74"/>
    </row>
    <row r="2811" spans="1:261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Q2811" s="74"/>
      <c r="R2811" s="74"/>
      <c r="S2811" s="74"/>
      <c r="T2811" s="74"/>
      <c r="U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  <c r="IW2811" s="74"/>
      <c r="IX2811" s="74"/>
      <c r="IY2811" s="74"/>
      <c r="IZ2811" s="74"/>
      <c r="JA2811" s="74"/>
    </row>
    <row r="2812" spans="1:261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Q2812" s="74"/>
      <c r="R2812" s="74"/>
      <c r="S2812" s="74"/>
      <c r="T2812" s="74"/>
      <c r="U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  <c r="IW2812" s="74"/>
      <c r="IX2812" s="74"/>
      <c r="IY2812" s="74"/>
      <c r="IZ2812" s="74"/>
      <c r="JA2812" s="74"/>
    </row>
    <row r="2813" spans="1:261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Q2813" s="74"/>
      <c r="R2813" s="74"/>
      <c r="S2813" s="74"/>
      <c r="T2813" s="74"/>
      <c r="U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  <c r="IW2813" s="74"/>
      <c r="IX2813" s="74"/>
      <c r="IY2813" s="74"/>
      <c r="IZ2813" s="74"/>
      <c r="JA2813" s="74"/>
    </row>
    <row r="2814" spans="1:261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Q2814" s="74"/>
      <c r="R2814" s="74"/>
      <c r="S2814" s="74"/>
      <c r="T2814" s="74"/>
      <c r="U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  <c r="IW2814" s="74"/>
      <c r="IX2814" s="74"/>
      <c r="IY2814" s="74"/>
      <c r="IZ2814" s="74"/>
      <c r="JA2814" s="74"/>
    </row>
    <row r="2815" spans="1:261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Q2815" s="74"/>
      <c r="R2815" s="74"/>
      <c r="S2815" s="74"/>
      <c r="T2815" s="74"/>
      <c r="U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  <c r="IW2815" s="74"/>
      <c r="IX2815" s="74"/>
      <c r="IY2815" s="74"/>
      <c r="IZ2815" s="74"/>
      <c r="JA2815" s="74"/>
    </row>
    <row r="2816" spans="1:261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Q2816" s="74"/>
      <c r="R2816" s="74"/>
      <c r="S2816" s="74"/>
      <c r="T2816" s="74"/>
      <c r="U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  <c r="IW2816" s="74"/>
      <c r="IX2816" s="74"/>
      <c r="IY2816" s="74"/>
      <c r="IZ2816" s="74"/>
      <c r="JA2816" s="74"/>
    </row>
    <row r="2817" spans="1:261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Q2817" s="74"/>
      <c r="R2817" s="74"/>
      <c r="S2817" s="74"/>
      <c r="T2817" s="74"/>
      <c r="U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  <c r="IW2817" s="74"/>
      <c r="IX2817" s="74"/>
      <c r="IY2817" s="74"/>
      <c r="IZ2817" s="74"/>
      <c r="JA2817" s="74"/>
    </row>
    <row r="2818" spans="1:261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Q2818" s="74"/>
      <c r="R2818" s="74"/>
      <c r="S2818" s="74"/>
      <c r="T2818" s="74"/>
      <c r="U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  <c r="IW2818" s="74"/>
      <c r="IX2818" s="74"/>
      <c r="IY2818" s="74"/>
      <c r="IZ2818" s="74"/>
      <c r="JA2818" s="74"/>
    </row>
    <row r="2819" spans="1:261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Q2819" s="74"/>
      <c r="R2819" s="74"/>
      <c r="S2819" s="74"/>
      <c r="T2819" s="74"/>
      <c r="U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  <c r="IW2819" s="74"/>
      <c r="IX2819" s="74"/>
      <c r="IY2819" s="74"/>
      <c r="IZ2819" s="74"/>
      <c r="JA2819" s="74"/>
    </row>
    <row r="2820" spans="1:261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Q2820" s="74"/>
      <c r="R2820" s="74"/>
      <c r="S2820" s="74"/>
      <c r="T2820" s="74"/>
      <c r="U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  <c r="IW2820" s="74"/>
      <c r="IX2820" s="74"/>
      <c r="IY2820" s="74"/>
      <c r="IZ2820" s="74"/>
      <c r="JA2820" s="74"/>
    </row>
    <row r="2821" spans="1:261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Q2821" s="74"/>
      <c r="R2821" s="74"/>
      <c r="S2821" s="74"/>
      <c r="T2821" s="74"/>
      <c r="U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  <c r="IW2821" s="74"/>
      <c r="IX2821" s="74"/>
      <c r="IY2821" s="74"/>
      <c r="IZ2821" s="74"/>
      <c r="JA2821" s="74"/>
    </row>
    <row r="2822" spans="1:261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Q2822" s="74"/>
      <c r="R2822" s="74"/>
      <c r="S2822" s="74"/>
      <c r="T2822" s="74"/>
      <c r="U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  <c r="IW2822" s="74"/>
      <c r="IX2822" s="74"/>
      <c r="IY2822" s="74"/>
      <c r="IZ2822" s="74"/>
      <c r="JA2822" s="74"/>
    </row>
    <row r="2823" spans="1:261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Q2823" s="74"/>
      <c r="R2823" s="74"/>
      <c r="S2823" s="74"/>
      <c r="T2823" s="74"/>
      <c r="U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  <c r="IW2823" s="74"/>
      <c r="IX2823" s="74"/>
      <c r="IY2823" s="74"/>
      <c r="IZ2823" s="74"/>
      <c r="JA2823" s="74"/>
    </row>
    <row r="2824" spans="1:261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Q2824" s="74"/>
      <c r="R2824" s="74"/>
      <c r="S2824" s="74"/>
      <c r="T2824" s="74"/>
      <c r="U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  <c r="IW2824" s="74"/>
      <c r="IX2824" s="74"/>
      <c r="IY2824" s="74"/>
      <c r="IZ2824" s="74"/>
      <c r="JA2824" s="74"/>
    </row>
    <row r="2825" spans="1:261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Q2825" s="74"/>
      <c r="R2825" s="74"/>
      <c r="S2825" s="74"/>
      <c r="T2825" s="74"/>
      <c r="U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  <c r="IW2825" s="74"/>
      <c r="IX2825" s="74"/>
      <c r="IY2825" s="74"/>
      <c r="IZ2825" s="74"/>
      <c r="JA2825" s="74"/>
    </row>
    <row r="2826" spans="1:261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Q2826" s="74"/>
      <c r="R2826" s="74"/>
      <c r="S2826" s="74"/>
      <c r="T2826" s="74"/>
      <c r="U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  <c r="IW2826" s="74"/>
      <c r="IX2826" s="74"/>
      <c r="IY2826" s="74"/>
      <c r="IZ2826" s="74"/>
      <c r="JA2826" s="74"/>
    </row>
    <row r="2827" spans="1:261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Q2827" s="74"/>
      <c r="R2827" s="74"/>
      <c r="S2827" s="74"/>
      <c r="T2827" s="74"/>
      <c r="U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  <c r="IW2827" s="74"/>
      <c r="IX2827" s="74"/>
      <c r="IY2827" s="74"/>
      <c r="IZ2827" s="74"/>
      <c r="JA2827" s="74"/>
    </row>
    <row r="2828" spans="1:261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Q2828" s="74"/>
      <c r="R2828" s="74"/>
      <c r="S2828" s="74"/>
      <c r="T2828" s="74"/>
      <c r="U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  <c r="IW2828" s="74"/>
      <c r="IX2828" s="74"/>
      <c r="IY2828" s="74"/>
      <c r="IZ2828" s="74"/>
      <c r="JA2828" s="74"/>
    </row>
    <row r="2829" spans="1:261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Q2829" s="74"/>
      <c r="R2829" s="74"/>
      <c r="S2829" s="74"/>
      <c r="T2829" s="74"/>
      <c r="U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  <c r="IW2829" s="74"/>
      <c r="IX2829" s="74"/>
      <c r="IY2829" s="74"/>
      <c r="IZ2829" s="74"/>
      <c r="JA2829" s="74"/>
    </row>
    <row r="2830" spans="1:261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Q2830" s="74"/>
      <c r="R2830" s="74"/>
      <c r="S2830" s="74"/>
      <c r="T2830" s="74"/>
      <c r="U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  <c r="IW2830" s="74"/>
      <c r="IX2830" s="74"/>
      <c r="IY2830" s="74"/>
      <c r="IZ2830" s="74"/>
      <c r="JA2830" s="74"/>
    </row>
    <row r="2831" spans="1:261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Q2831" s="74"/>
      <c r="R2831" s="74"/>
      <c r="S2831" s="74"/>
      <c r="T2831" s="74"/>
      <c r="U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  <c r="IW2831" s="74"/>
      <c r="IX2831" s="74"/>
      <c r="IY2831" s="74"/>
      <c r="IZ2831" s="74"/>
      <c r="JA2831" s="74"/>
    </row>
    <row r="2832" spans="1:261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Q2832" s="74"/>
      <c r="R2832" s="74"/>
      <c r="S2832" s="74"/>
      <c r="T2832" s="74"/>
      <c r="U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  <c r="IW2832" s="74"/>
      <c r="IX2832" s="74"/>
      <c r="IY2832" s="74"/>
      <c r="IZ2832" s="74"/>
      <c r="JA2832" s="74"/>
    </row>
    <row r="2833" spans="1:261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Q2833" s="74"/>
      <c r="R2833" s="74"/>
      <c r="S2833" s="74"/>
      <c r="T2833" s="74"/>
      <c r="U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  <c r="IW2833" s="74"/>
      <c r="IX2833" s="74"/>
      <c r="IY2833" s="74"/>
      <c r="IZ2833" s="74"/>
      <c r="JA2833" s="74"/>
    </row>
    <row r="2834" spans="1:261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Q2834" s="74"/>
      <c r="R2834" s="74"/>
      <c r="S2834" s="74"/>
      <c r="T2834" s="74"/>
      <c r="U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  <c r="IW2834" s="74"/>
      <c r="IX2834" s="74"/>
      <c r="IY2834" s="74"/>
      <c r="IZ2834" s="74"/>
      <c r="JA2834" s="74"/>
    </row>
    <row r="2835" spans="1:261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Q2835" s="74"/>
      <c r="R2835" s="74"/>
      <c r="S2835" s="74"/>
      <c r="T2835" s="74"/>
      <c r="U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  <c r="IW2835" s="74"/>
      <c r="IX2835" s="74"/>
      <c r="IY2835" s="74"/>
      <c r="IZ2835" s="74"/>
      <c r="JA2835" s="74"/>
    </row>
    <row r="2836" spans="1:261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Q2836" s="74"/>
      <c r="R2836" s="74"/>
      <c r="S2836" s="74"/>
      <c r="T2836" s="74"/>
      <c r="U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  <c r="IW2836" s="74"/>
      <c r="IX2836" s="74"/>
      <c r="IY2836" s="74"/>
      <c r="IZ2836" s="74"/>
      <c r="JA2836" s="74"/>
    </row>
    <row r="2837" spans="1:261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Q2837" s="74"/>
      <c r="R2837" s="74"/>
      <c r="S2837" s="74"/>
      <c r="T2837" s="74"/>
      <c r="U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  <c r="IW2837" s="74"/>
      <c r="IX2837" s="74"/>
      <c r="IY2837" s="74"/>
      <c r="IZ2837" s="74"/>
      <c r="JA2837" s="74"/>
    </row>
    <row r="2838" spans="1:261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Q2838" s="74"/>
      <c r="R2838" s="74"/>
      <c r="S2838" s="74"/>
      <c r="T2838" s="74"/>
      <c r="U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  <c r="IW2838" s="74"/>
      <c r="IX2838" s="74"/>
      <c r="IY2838" s="74"/>
      <c r="IZ2838" s="74"/>
      <c r="JA2838" s="74"/>
    </row>
    <row r="2839" spans="1:261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Q2839" s="74"/>
      <c r="R2839" s="74"/>
      <c r="S2839" s="74"/>
      <c r="T2839" s="74"/>
      <c r="U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  <c r="IW2839" s="74"/>
      <c r="IX2839" s="74"/>
      <c r="IY2839" s="74"/>
      <c r="IZ2839" s="74"/>
      <c r="JA2839" s="74"/>
    </row>
    <row r="2840" spans="1:261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Q2840" s="74"/>
      <c r="R2840" s="74"/>
      <c r="S2840" s="74"/>
      <c r="T2840" s="74"/>
      <c r="U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  <c r="IW2840" s="74"/>
      <c r="IX2840" s="74"/>
      <c r="IY2840" s="74"/>
      <c r="IZ2840" s="74"/>
      <c r="JA2840" s="74"/>
    </row>
    <row r="2841" spans="1:261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Q2841" s="74"/>
      <c r="R2841" s="74"/>
      <c r="S2841" s="74"/>
      <c r="T2841" s="74"/>
      <c r="U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  <c r="IW2841" s="74"/>
      <c r="IX2841" s="74"/>
      <c r="IY2841" s="74"/>
      <c r="IZ2841" s="74"/>
      <c r="JA2841" s="74"/>
    </row>
    <row r="2842" spans="1:261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Q2842" s="74"/>
      <c r="R2842" s="74"/>
      <c r="S2842" s="74"/>
      <c r="T2842" s="74"/>
      <c r="U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  <c r="IW2842" s="74"/>
      <c r="IX2842" s="74"/>
      <c r="IY2842" s="74"/>
      <c r="IZ2842" s="74"/>
      <c r="JA2842" s="74"/>
    </row>
    <row r="2843" spans="1:261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Q2843" s="74"/>
      <c r="R2843" s="74"/>
      <c r="S2843" s="74"/>
      <c r="T2843" s="74"/>
      <c r="U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  <c r="IW2843" s="74"/>
      <c r="IX2843" s="74"/>
      <c r="IY2843" s="74"/>
      <c r="IZ2843" s="74"/>
      <c r="JA2843" s="74"/>
    </row>
    <row r="2844" spans="1:261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Q2844" s="74"/>
      <c r="R2844" s="74"/>
      <c r="S2844" s="74"/>
      <c r="T2844" s="74"/>
      <c r="U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  <c r="IW2844" s="74"/>
      <c r="IX2844" s="74"/>
      <c r="IY2844" s="74"/>
      <c r="IZ2844" s="74"/>
      <c r="JA2844" s="74"/>
    </row>
    <row r="2845" spans="1:261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Q2845" s="74"/>
      <c r="R2845" s="74"/>
      <c r="S2845" s="74"/>
      <c r="T2845" s="74"/>
      <c r="U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  <c r="IW2845" s="74"/>
      <c r="IX2845" s="74"/>
      <c r="IY2845" s="74"/>
      <c r="IZ2845" s="74"/>
      <c r="JA2845" s="74"/>
    </row>
    <row r="2846" spans="1:261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Q2846" s="74"/>
      <c r="R2846" s="74"/>
      <c r="S2846" s="74"/>
      <c r="T2846" s="74"/>
      <c r="U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  <c r="IW2846" s="74"/>
      <c r="IX2846" s="74"/>
      <c r="IY2846" s="74"/>
      <c r="IZ2846" s="74"/>
      <c r="JA2846" s="74"/>
    </row>
    <row r="2847" spans="1:261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Q2847" s="74"/>
      <c r="R2847" s="74"/>
      <c r="S2847" s="74"/>
      <c r="T2847" s="74"/>
      <c r="U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  <c r="IW2847" s="74"/>
      <c r="IX2847" s="74"/>
      <c r="IY2847" s="74"/>
      <c r="IZ2847" s="74"/>
      <c r="JA2847" s="74"/>
    </row>
    <row r="2848" spans="1:261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Q2848" s="74"/>
      <c r="R2848" s="74"/>
      <c r="S2848" s="74"/>
      <c r="T2848" s="74"/>
      <c r="U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  <c r="IW2848" s="74"/>
      <c r="IX2848" s="74"/>
      <c r="IY2848" s="74"/>
      <c r="IZ2848" s="74"/>
      <c r="JA2848" s="74"/>
    </row>
    <row r="2849" spans="1:261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Q2849" s="74"/>
      <c r="R2849" s="74"/>
      <c r="S2849" s="74"/>
      <c r="T2849" s="74"/>
      <c r="U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  <c r="IW2849" s="74"/>
      <c r="IX2849" s="74"/>
      <c r="IY2849" s="74"/>
      <c r="IZ2849" s="74"/>
      <c r="JA2849" s="74"/>
    </row>
    <row r="2850" spans="1:261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Q2850" s="74"/>
      <c r="R2850" s="74"/>
      <c r="S2850" s="74"/>
      <c r="T2850" s="74"/>
      <c r="U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  <c r="IW2850" s="74"/>
      <c r="IX2850" s="74"/>
      <c r="IY2850" s="74"/>
      <c r="IZ2850" s="74"/>
      <c r="JA2850" s="74"/>
    </row>
    <row r="2851" spans="1:261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Q2851" s="74"/>
      <c r="R2851" s="74"/>
      <c r="S2851" s="74"/>
      <c r="T2851" s="74"/>
      <c r="U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  <c r="IW2851" s="74"/>
      <c r="IX2851" s="74"/>
      <c r="IY2851" s="74"/>
      <c r="IZ2851" s="74"/>
      <c r="JA2851" s="74"/>
    </row>
    <row r="2852" spans="1:261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Q2852" s="74"/>
      <c r="R2852" s="74"/>
      <c r="S2852" s="74"/>
      <c r="T2852" s="74"/>
      <c r="U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  <c r="IW2852" s="74"/>
      <c r="IX2852" s="74"/>
      <c r="IY2852" s="74"/>
      <c r="IZ2852" s="74"/>
      <c r="JA2852" s="74"/>
    </row>
    <row r="2853" spans="1:261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Q2853" s="74"/>
      <c r="R2853" s="74"/>
      <c r="S2853" s="74"/>
      <c r="T2853" s="74"/>
      <c r="U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  <c r="IW2853" s="74"/>
      <c r="IX2853" s="74"/>
      <c r="IY2853" s="74"/>
      <c r="IZ2853" s="74"/>
      <c r="JA2853" s="74"/>
    </row>
    <row r="2854" spans="1:261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Q2854" s="74"/>
      <c r="R2854" s="74"/>
      <c r="S2854" s="74"/>
      <c r="T2854" s="74"/>
      <c r="U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  <c r="IW2854" s="74"/>
      <c r="IX2854" s="74"/>
      <c r="IY2854" s="74"/>
      <c r="IZ2854" s="74"/>
      <c r="JA2854" s="74"/>
    </row>
    <row r="2855" spans="1:261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Q2855" s="74"/>
      <c r="R2855" s="74"/>
      <c r="S2855" s="74"/>
      <c r="T2855" s="74"/>
      <c r="U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  <c r="IW2855" s="74"/>
      <c r="IX2855" s="74"/>
      <c r="IY2855" s="74"/>
      <c r="IZ2855" s="74"/>
      <c r="JA2855" s="74"/>
    </row>
    <row r="2856" spans="1:261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Q2856" s="74"/>
      <c r="R2856" s="74"/>
      <c r="S2856" s="74"/>
      <c r="T2856" s="74"/>
      <c r="U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  <c r="IW2856" s="74"/>
      <c r="IX2856" s="74"/>
      <c r="IY2856" s="74"/>
      <c r="IZ2856" s="74"/>
      <c r="JA2856" s="74"/>
    </row>
    <row r="2857" spans="1:261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Q2857" s="74"/>
      <c r="R2857" s="74"/>
      <c r="S2857" s="74"/>
      <c r="T2857" s="74"/>
      <c r="U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  <c r="IW2857" s="74"/>
      <c r="IX2857" s="74"/>
      <c r="IY2857" s="74"/>
      <c r="IZ2857" s="74"/>
      <c r="JA2857" s="74"/>
    </row>
    <row r="2858" spans="1:261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Q2858" s="74"/>
      <c r="R2858" s="74"/>
      <c r="S2858" s="74"/>
      <c r="T2858" s="74"/>
      <c r="U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  <c r="IW2858" s="74"/>
      <c r="IX2858" s="74"/>
      <c r="IY2858" s="74"/>
      <c r="IZ2858" s="74"/>
      <c r="JA2858" s="74"/>
    </row>
    <row r="2859" spans="1:261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Q2859" s="74"/>
      <c r="R2859" s="74"/>
      <c r="S2859" s="74"/>
      <c r="T2859" s="74"/>
      <c r="U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  <c r="IW2859" s="74"/>
      <c r="IX2859" s="74"/>
      <c r="IY2859" s="74"/>
      <c r="IZ2859" s="74"/>
      <c r="JA2859" s="74"/>
    </row>
    <row r="2860" spans="1:261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Q2860" s="74"/>
      <c r="R2860" s="74"/>
      <c r="S2860" s="74"/>
      <c r="T2860" s="74"/>
      <c r="U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  <c r="IW2860" s="74"/>
      <c r="IX2860" s="74"/>
      <c r="IY2860" s="74"/>
      <c r="IZ2860" s="74"/>
      <c r="JA2860" s="74"/>
    </row>
    <row r="2861" spans="1:261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Q2861" s="74"/>
      <c r="R2861" s="74"/>
      <c r="S2861" s="74"/>
      <c r="T2861" s="74"/>
      <c r="U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  <c r="IW2861" s="74"/>
      <c r="IX2861" s="74"/>
      <c r="IY2861" s="74"/>
      <c r="IZ2861" s="74"/>
      <c r="JA2861" s="74"/>
    </row>
    <row r="2862" spans="1:261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Q2862" s="74"/>
      <c r="R2862" s="74"/>
      <c r="S2862" s="74"/>
      <c r="T2862" s="74"/>
      <c r="U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  <c r="IW2862" s="74"/>
      <c r="IX2862" s="74"/>
      <c r="IY2862" s="74"/>
      <c r="IZ2862" s="74"/>
      <c r="JA2862" s="74"/>
    </row>
    <row r="2863" spans="1:261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Q2863" s="74"/>
      <c r="R2863" s="74"/>
      <c r="S2863" s="74"/>
      <c r="T2863" s="74"/>
      <c r="U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  <c r="IW2863" s="74"/>
      <c r="IX2863" s="74"/>
      <c r="IY2863" s="74"/>
      <c r="IZ2863" s="74"/>
      <c r="JA2863" s="74"/>
    </row>
    <row r="2864" spans="1:261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Q2864" s="74"/>
      <c r="R2864" s="74"/>
      <c r="S2864" s="74"/>
      <c r="T2864" s="74"/>
      <c r="U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  <c r="IW2864" s="74"/>
      <c r="IX2864" s="74"/>
      <c r="IY2864" s="74"/>
      <c r="IZ2864" s="74"/>
      <c r="JA2864" s="74"/>
    </row>
    <row r="2865" spans="1:261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Q2865" s="74"/>
      <c r="R2865" s="74"/>
      <c r="S2865" s="74"/>
      <c r="T2865" s="74"/>
      <c r="U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  <c r="IW2865" s="74"/>
      <c r="IX2865" s="74"/>
      <c r="IY2865" s="74"/>
      <c r="IZ2865" s="74"/>
      <c r="JA2865" s="74"/>
    </row>
    <row r="2866" spans="1:261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Q2866" s="74"/>
      <c r="R2866" s="74"/>
      <c r="S2866" s="74"/>
      <c r="T2866" s="74"/>
      <c r="U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  <c r="IW2866" s="74"/>
      <c r="IX2866" s="74"/>
      <c r="IY2866" s="74"/>
      <c r="IZ2866" s="74"/>
      <c r="JA2866" s="74"/>
    </row>
    <row r="2867" spans="1:261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Q2867" s="74"/>
      <c r="R2867" s="74"/>
      <c r="S2867" s="74"/>
      <c r="T2867" s="74"/>
      <c r="U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  <c r="IW2867" s="74"/>
      <c r="IX2867" s="74"/>
      <c r="IY2867" s="74"/>
      <c r="IZ2867" s="74"/>
      <c r="JA2867" s="74"/>
    </row>
    <row r="2868" spans="1:261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Q2868" s="74"/>
      <c r="R2868" s="74"/>
      <c r="S2868" s="74"/>
      <c r="T2868" s="74"/>
      <c r="U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  <c r="IW2868" s="74"/>
      <c r="IX2868" s="74"/>
      <c r="IY2868" s="74"/>
      <c r="IZ2868" s="74"/>
      <c r="JA2868" s="74"/>
    </row>
    <row r="2869" spans="1:261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Q2869" s="74"/>
      <c r="R2869" s="74"/>
      <c r="S2869" s="74"/>
      <c r="T2869" s="74"/>
      <c r="U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  <c r="IW2869" s="74"/>
      <c r="IX2869" s="74"/>
      <c r="IY2869" s="74"/>
      <c r="IZ2869" s="74"/>
      <c r="JA2869" s="74"/>
    </row>
    <row r="2870" spans="1:261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Q2870" s="74"/>
      <c r="R2870" s="74"/>
      <c r="S2870" s="74"/>
      <c r="T2870" s="74"/>
      <c r="U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  <c r="IW2870" s="74"/>
      <c r="IX2870" s="74"/>
      <c r="IY2870" s="74"/>
      <c r="IZ2870" s="74"/>
      <c r="JA2870" s="74"/>
    </row>
    <row r="2871" spans="1:261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Q2871" s="74"/>
      <c r="R2871" s="74"/>
      <c r="S2871" s="74"/>
      <c r="T2871" s="74"/>
      <c r="U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  <c r="IW2871" s="74"/>
      <c r="IX2871" s="74"/>
      <c r="IY2871" s="74"/>
      <c r="IZ2871" s="74"/>
      <c r="JA2871" s="74"/>
    </row>
    <row r="2872" spans="1:261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Q2872" s="74"/>
      <c r="R2872" s="74"/>
      <c r="S2872" s="74"/>
      <c r="T2872" s="74"/>
      <c r="U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  <c r="IW2872" s="74"/>
      <c r="IX2872" s="74"/>
      <c r="IY2872" s="74"/>
      <c r="IZ2872" s="74"/>
      <c r="JA2872" s="74"/>
    </row>
    <row r="2873" spans="1:261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Q2873" s="74"/>
      <c r="R2873" s="74"/>
      <c r="S2873" s="74"/>
      <c r="T2873" s="74"/>
      <c r="U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  <c r="IW2873" s="74"/>
      <c r="IX2873" s="74"/>
      <c r="IY2873" s="74"/>
      <c r="IZ2873" s="74"/>
      <c r="JA2873" s="74"/>
    </row>
    <row r="2874" spans="1:261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Q2874" s="74"/>
      <c r="R2874" s="74"/>
      <c r="S2874" s="74"/>
      <c r="T2874" s="74"/>
      <c r="U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  <c r="IW2874" s="74"/>
      <c r="IX2874" s="74"/>
      <c r="IY2874" s="74"/>
      <c r="IZ2874" s="74"/>
      <c r="JA2874" s="74"/>
    </row>
    <row r="2875" spans="1:261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Q2875" s="74"/>
      <c r="R2875" s="74"/>
      <c r="S2875" s="74"/>
      <c r="T2875" s="74"/>
      <c r="U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  <c r="IW2875" s="74"/>
      <c r="IX2875" s="74"/>
      <c r="IY2875" s="74"/>
      <c r="IZ2875" s="74"/>
      <c r="JA2875" s="74"/>
    </row>
    <row r="2876" spans="1:261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Q2876" s="74"/>
      <c r="R2876" s="74"/>
      <c r="S2876" s="74"/>
      <c r="T2876" s="74"/>
      <c r="U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  <c r="IW2876" s="74"/>
      <c r="IX2876" s="74"/>
      <c r="IY2876" s="74"/>
      <c r="IZ2876" s="74"/>
      <c r="JA2876" s="74"/>
    </row>
    <row r="2877" spans="1:261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Q2877" s="74"/>
      <c r="R2877" s="74"/>
      <c r="S2877" s="74"/>
      <c r="T2877" s="74"/>
      <c r="U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  <c r="IW2877" s="74"/>
      <c r="IX2877" s="74"/>
      <c r="IY2877" s="74"/>
      <c r="IZ2877" s="74"/>
      <c r="JA2877" s="74"/>
    </row>
    <row r="2878" spans="1:261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Q2878" s="74"/>
      <c r="R2878" s="74"/>
      <c r="S2878" s="74"/>
      <c r="T2878" s="74"/>
      <c r="U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  <c r="IW2878" s="74"/>
      <c r="IX2878" s="74"/>
      <c r="IY2878" s="74"/>
      <c r="IZ2878" s="74"/>
      <c r="JA2878" s="74"/>
    </row>
    <row r="2879" spans="1:261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Q2879" s="74"/>
      <c r="R2879" s="74"/>
      <c r="S2879" s="74"/>
      <c r="T2879" s="74"/>
      <c r="U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  <c r="IW2879" s="74"/>
      <c r="IX2879" s="74"/>
      <c r="IY2879" s="74"/>
      <c r="IZ2879" s="74"/>
      <c r="JA2879" s="74"/>
    </row>
    <row r="2880" spans="1:261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Q2880" s="74"/>
      <c r="R2880" s="74"/>
      <c r="S2880" s="74"/>
      <c r="T2880" s="74"/>
      <c r="U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  <c r="IW2880" s="74"/>
      <c r="IX2880" s="74"/>
      <c r="IY2880" s="74"/>
      <c r="IZ2880" s="74"/>
      <c r="JA2880" s="74"/>
    </row>
    <row r="2881" spans="1:261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Q2881" s="74"/>
      <c r="R2881" s="74"/>
      <c r="S2881" s="74"/>
      <c r="T2881" s="74"/>
      <c r="U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  <c r="IW2881" s="74"/>
      <c r="IX2881" s="74"/>
      <c r="IY2881" s="74"/>
      <c r="IZ2881" s="74"/>
      <c r="JA2881" s="74"/>
    </row>
    <row r="2882" spans="1:261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Q2882" s="74"/>
      <c r="R2882" s="74"/>
      <c r="S2882" s="74"/>
      <c r="T2882" s="74"/>
      <c r="U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  <c r="IW2882" s="74"/>
      <c r="IX2882" s="74"/>
      <c r="IY2882" s="74"/>
      <c r="IZ2882" s="74"/>
      <c r="JA2882" s="74"/>
    </row>
    <row r="2883" spans="1:261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Q2883" s="74"/>
      <c r="R2883" s="74"/>
      <c r="S2883" s="74"/>
      <c r="T2883" s="74"/>
      <c r="U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  <c r="IW2883" s="74"/>
      <c r="IX2883" s="74"/>
      <c r="IY2883" s="74"/>
      <c r="IZ2883" s="74"/>
      <c r="JA2883" s="74"/>
    </row>
    <row r="2884" spans="1:261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Q2884" s="74"/>
      <c r="R2884" s="74"/>
      <c r="S2884" s="74"/>
      <c r="T2884" s="74"/>
      <c r="U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  <c r="IW2884" s="74"/>
      <c r="IX2884" s="74"/>
      <c r="IY2884" s="74"/>
      <c r="IZ2884" s="74"/>
      <c r="JA2884" s="74"/>
    </row>
    <row r="2885" spans="1:261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Q2885" s="74"/>
      <c r="R2885" s="74"/>
      <c r="S2885" s="74"/>
      <c r="T2885" s="74"/>
      <c r="U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  <c r="IW2885" s="74"/>
      <c r="IX2885" s="74"/>
      <c r="IY2885" s="74"/>
      <c r="IZ2885" s="74"/>
      <c r="JA2885" s="74"/>
    </row>
    <row r="2886" spans="1:261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Q2886" s="74"/>
      <c r="R2886" s="74"/>
      <c r="S2886" s="74"/>
      <c r="T2886" s="74"/>
      <c r="U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  <c r="IW2886" s="74"/>
      <c r="IX2886" s="74"/>
      <c r="IY2886" s="74"/>
      <c r="IZ2886" s="74"/>
      <c r="JA2886" s="74"/>
    </row>
    <row r="2887" spans="1:261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Q2887" s="74"/>
      <c r="R2887" s="74"/>
      <c r="S2887" s="74"/>
      <c r="T2887" s="74"/>
      <c r="U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  <c r="IW2887" s="74"/>
      <c r="IX2887" s="74"/>
      <c r="IY2887" s="74"/>
      <c r="IZ2887" s="74"/>
      <c r="JA2887" s="74"/>
    </row>
    <row r="2888" spans="1:261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Q2888" s="74"/>
      <c r="R2888" s="74"/>
      <c r="S2888" s="74"/>
      <c r="T2888" s="74"/>
      <c r="U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  <c r="IW2888" s="74"/>
      <c r="IX2888" s="74"/>
      <c r="IY2888" s="74"/>
      <c r="IZ2888" s="74"/>
      <c r="JA2888" s="74"/>
    </row>
    <row r="2889" spans="1:261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Q2889" s="74"/>
      <c r="R2889" s="74"/>
      <c r="S2889" s="74"/>
      <c r="T2889" s="74"/>
      <c r="U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  <c r="IW2889" s="74"/>
      <c r="IX2889" s="74"/>
      <c r="IY2889" s="74"/>
      <c r="IZ2889" s="74"/>
      <c r="JA2889" s="74"/>
    </row>
    <row r="2890" spans="1:261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Q2890" s="74"/>
      <c r="R2890" s="74"/>
      <c r="S2890" s="74"/>
      <c r="T2890" s="74"/>
      <c r="U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  <c r="IW2890" s="74"/>
      <c r="IX2890" s="74"/>
      <c r="IY2890" s="74"/>
      <c r="IZ2890" s="74"/>
      <c r="JA2890" s="74"/>
    </row>
    <row r="2891" spans="1:261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Q2891" s="74"/>
      <c r="R2891" s="74"/>
      <c r="S2891" s="74"/>
      <c r="T2891" s="74"/>
      <c r="U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  <c r="IW2891" s="74"/>
      <c r="IX2891" s="74"/>
      <c r="IY2891" s="74"/>
      <c r="IZ2891" s="74"/>
      <c r="JA2891" s="74"/>
    </row>
    <row r="2892" spans="1:261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Q2892" s="74"/>
      <c r="R2892" s="74"/>
      <c r="S2892" s="74"/>
      <c r="T2892" s="74"/>
      <c r="U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  <c r="IW2892" s="74"/>
      <c r="IX2892" s="74"/>
      <c r="IY2892" s="74"/>
      <c r="IZ2892" s="74"/>
      <c r="JA2892" s="74"/>
    </row>
    <row r="2893" spans="1:261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Q2893" s="74"/>
      <c r="R2893" s="74"/>
      <c r="S2893" s="74"/>
      <c r="T2893" s="74"/>
      <c r="U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  <c r="IW2893" s="74"/>
      <c r="IX2893" s="74"/>
      <c r="IY2893" s="74"/>
      <c r="IZ2893" s="74"/>
      <c r="JA2893" s="74"/>
    </row>
    <row r="2894" spans="1:261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Q2894" s="74"/>
      <c r="R2894" s="74"/>
      <c r="S2894" s="74"/>
      <c r="T2894" s="74"/>
      <c r="U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  <c r="IW2894" s="74"/>
      <c r="IX2894" s="74"/>
      <c r="IY2894" s="74"/>
      <c r="IZ2894" s="74"/>
      <c r="JA2894" s="74"/>
    </row>
    <row r="2895" spans="1:261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Q2895" s="74"/>
      <c r="R2895" s="74"/>
      <c r="S2895" s="74"/>
      <c r="T2895" s="74"/>
      <c r="U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  <c r="IW2895" s="74"/>
      <c r="IX2895" s="74"/>
      <c r="IY2895" s="74"/>
      <c r="IZ2895" s="74"/>
      <c r="JA2895" s="74"/>
    </row>
    <row r="2896" spans="1:261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Q2896" s="74"/>
      <c r="R2896" s="74"/>
      <c r="S2896" s="74"/>
      <c r="T2896" s="74"/>
      <c r="U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  <c r="IW2896" s="74"/>
      <c r="IX2896" s="74"/>
      <c r="IY2896" s="74"/>
      <c r="IZ2896" s="74"/>
      <c r="JA2896" s="74"/>
    </row>
    <row r="2897" spans="1:261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Q2897" s="74"/>
      <c r="R2897" s="74"/>
      <c r="S2897" s="74"/>
      <c r="T2897" s="74"/>
      <c r="U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  <c r="IW2897" s="74"/>
      <c r="IX2897" s="74"/>
      <c r="IY2897" s="74"/>
      <c r="IZ2897" s="74"/>
      <c r="JA2897" s="74"/>
    </row>
    <row r="2898" spans="1:261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Q2898" s="74"/>
      <c r="R2898" s="74"/>
      <c r="S2898" s="74"/>
      <c r="T2898" s="74"/>
      <c r="U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  <c r="IW2898" s="74"/>
      <c r="IX2898" s="74"/>
      <c r="IY2898" s="74"/>
      <c r="IZ2898" s="74"/>
      <c r="JA2898" s="74"/>
    </row>
    <row r="2899" spans="1:261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Q2899" s="74"/>
      <c r="R2899" s="74"/>
      <c r="S2899" s="74"/>
      <c r="T2899" s="74"/>
      <c r="U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  <c r="IW2899" s="74"/>
      <c r="IX2899" s="74"/>
      <c r="IY2899" s="74"/>
      <c r="IZ2899" s="74"/>
      <c r="JA2899" s="74"/>
    </row>
    <row r="2900" spans="1:261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Q2900" s="74"/>
      <c r="R2900" s="74"/>
      <c r="S2900" s="74"/>
      <c r="T2900" s="74"/>
      <c r="U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  <c r="IW2900" s="74"/>
      <c r="IX2900" s="74"/>
      <c r="IY2900" s="74"/>
      <c r="IZ2900" s="74"/>
      <c r="JA2900" s="74"/>
    </row>
    <row r="2901" spans="1:261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Q2901" s="74"/>
      <c r="R2901" s="74"/>
      <c r="S2901" s="74"/>
      <c r="T2901" s="74"/>
      <c r="U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  <c r="IW2901" s="74"/>
      <c r="IX2901" s="74"/>
      <c r="IY2901" s="74"/>
      <c r="IZ2901" s="74"/>
      <c r="JA2901" s="74"/>
    </row>
    <row r="2902" spans="1:261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Q2902" s="74"/>
      <c r="R2902" s="74"/>
      <c r="S2902" s="74"/>
      <c r="T2902" s="74"/>
      <c r="U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  <c r="IW2902" s="74"/>
      <c r="IX2902" s="74"/>
      <c r="IY2902" s="74"/>
      <c r="IZ2902" s="74"/>
      <c r="JA2902" s="74"/>
    </row>
    <row r="2903" spans="1:261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Q2903" s="74"/>
      <c r="R2903" s="74"/>
      <c r="S2903" s="74"/>
      <c r="T2903" s="74"/>
      <c r="U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  <c r="IW2903" s="74"/>
      <c r="IX2903" s="74"/>
      <c r="IY2903" s="74"/>
      <c r="IZ2903" s="74"/>
      <c r="JA2903" s="74"/>
    </row>
    <row r="2904" spans="1:261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Q2904" s="74"/>
      <c r="R2904" s="74"/>
      <c r="S2904" s="74"/>
      <c r="T2904" s="74"/>
      <c r="U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  <c r="IW2904" s="74"/>
      <c r="IX2904" s="74"/>
      <c r="IY2904" s="74"/>
      <c r="IZ2904" s="74"/>
      <c r="JA2904" s="74"/>
    </row>
    <row r="2905" spans="1:261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Q2905" s="74"/>
      <c r="R2905" s="74"/>
      <c r="S2905" s="74"/>
      <c r="T2905" s="74"/>
      <c r="U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  <c r="IW2905" s="74"/>
      <c r="IX2905" s="74"/>
      <c r="IY2905" s="74"/>
      <c r="IZ2905" s="74"/>
      <c r="JA2905" s="74"/>
    </row>
    <row r="2906" spans="1:261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Q2906" s="74"/>
      <c r="R2906" s="74"/>
      <c r="S2906" s="74"/>
      <c r="T2906" s="74"/>
      <c r="U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  <c r="IW2906" s="74"/>
      <c r="IX2906" s="74"/>
      <c r="IY2906" s="74"/>
      <c r="IZ2906" s="74"/>
      <c r="JA2906" s="74"/>
    </row>
    <row r="2907" spans="1:261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Q2907" s="74"/>
      <c r="R2907" s="74"/>
      <c r="S2907" s="74"/>
      <c r="T2907" s="74"/>
      <c r="U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  <c r="IW2907" s="74"/>
      <c r="IX2907" s="74"/>
      <c r="IY2907" s="74"/>
      <c r="IZ2907" s="74"/>
      <c r="JA2907" s="74"/>
    </row>
    <row r="2908" spans="1:261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Q2908" s="74"/>
      <c r="R2908" s="74"/>
      <c r="S2908" s="74"/>
      <c r="T2908" s="74"/>
      <c r="U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  <c r="IW2908" s="74"/>
      <c r="IX2908" s="74"/>
      <c r="IY2908" s="74"/>
      <c r="IZ2908" s="74"/>
      <c r="JA2908" s="74"/>
    </row>
    <row r="2909" spans="1:261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Q2909" s="74"/>
      <c r="R2909" s="74"/>
      <c r="S2909" s="74"/>
      <c r="T2909" s="74"/>
      <c r="U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  <c r="IW2909" s="74"/>
      <c r="IX2909" s="74"/>
      <c r="IY2909" s="74"/>
      <c r="IZ2909" s="74"/>
      <c r="JA2909" s="74"/>
    </row>
    <row r="2910" spans="1:261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Q2910" s="74"/>
      <c r="R2910" s="74"/>
      <c r="S2910" s="74"/>
      <c r="T2910" s="74"/>
      <c r="U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  <c r="IW2910" s="74"/>
      <c r="IX2910" s="74"/>
      <c r="IY2910" s="74"/>
      <c r="IZ2910" s="74"/>
      <c r="JA2910" s="74"/>
    </row>
    <row r="2911" spans="1:261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Q2911" s="74"/>
      <c r="R2911" s="74"/>
      <c r="S2911" s="74"/>
      <c r="T2911" s="74"/>
      <c r="U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  <c r="IW2911" s="74"/>
      <c r="IX2911" s="74"/>
      <c r="IY2911" s="74"/>
      <c r="IZ2911" s="74"/>
      <c r="JA2911" s="74"/>
    </row>
    <row r="2912" spans="1:261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Q2912" s="74"/>
      <c r="R2912" s="74"/>
      <c r="S2912" s="74"/>
      <c r="T2912" s="74"/>
      <c r="U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  <c r="IW2912" s="74"/>
      <c r="IX2912" s="74"/>
      <c r="IY2912" s="74"/>
      <c r="IZ2912" s="74"/>
      <c r="JA2912" s="74"/>
    </row>
    <row r="2913" spans="1:261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Q2913" s="74"/>
      <c r="R2913" s="74"/>
      <c r="S2913" s="74"/>
      <c r="T2913" s="74"/>
      <c r="U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  <c r="IW2913" s="74"/>
      <c r="IX2913" s="74"/>
      <c r="IY2913" s="74"/>
      <c r="IZ2913" s="74"/>
      <c r="JA2913" s="74"/>
    </row>
    <row r="2914" spans="1:261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Q2914" s="74"/>
      <c r="R2914" s="74"/>
      <c r="S2914" s="74"/>
      <c r="T2914" s="74"/>
      <c r="U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  <c r="IW2914" s="74"/>
      <c r="IX2914" s="74"/>
      <c r="IY2914" s="74"/>
      <c r="IZ2914" s="74"/>
      <c r="JA2914" s="74"/>
    </row>
    <row r="2915" spans="1:261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Q2915" s="74"/>
      <c r="R2915" s="74"/>
      <c r="S2915" s="74"/>
      <c r="T2915" s="74"/>
      <c r="U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  <c r="IW2915" s="74"/>
      <c r="IX2915" s="74"/>
      <c r="IY2915" s="74"/>
      <c r="IZ2915" s="74"/>
      <c r="JA2915" s="74"/>
    </row>
    <row r="2916" spans="1:261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Q2916" s="74"/>
      <c r="R2916" s="74"/>
      <c r="S2916" s="74"/>
      <c r="T2916" s="74"/>
      <c r="U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  <c r="IW2916" s="74"/>
      <c r="IX2916" s="74"/>
      <c r="IY2916" s="74"/>
      <c r="IZ2916" s="74"/>
      <c r="JA2916" s="74"/>
    </row>
    <row r="2917" spans="1:261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Q2917" s="74"/>
      <c r="R2917" s="74"/>
      <c r="S2917" s="74"/>
      <c r="T2917" s="74"/>
      <c r="U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  <c r="IW2917" s="74"/>
      <c r="IX2917" s="74"/>
      <c r="IY2917" s="74"/>
      <c r="IZ2917" s="74"/>
      <c r="JA2917" s="74"/>
    </row>
    <row r="2918" spans="1:261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Q2918" s="74"/>
      <c r="R2918" s="74"/>
      <c r="S2918" s="74"/>
      <c r="T2918" s="74"/>
      <c r="U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  <c r="IW2918" s="74"/>
      <c r="IX2918" s="74"/>
      <c r="IY2918" s="74"/>
      <c r="IZ2918" s="74"/>
      <c r="JA2918" s="74"/>
    </row>
    <row r="2919" spans="1:261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Q2919" s="74"/>
      <c r="R2919" s="74"/>
      <c r="S2919" s="74"/>
      <c r="T2919" s="74"/>
      <c r="U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  <c r="IW2919" s="74"/>
      <c r="IX2919" s="74"/>
      <c r="IY2919" s="74"/>
      <c r="IZ2919" s="74"/>
      <c r="JA2919" s="74"/>
    </row>
    <row r="2920" spans="1:261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Q2920" s="74"/>
      <c r="R2920" s="74"/>
      <c r="S2920" s="74"/>
      <c r="T2920" s="74"/>
      <c r="U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  <c r="IW2920" s="74"/>
      <c r="IX2920" s="74"/>
      <c r="IY2920" s="74"/>
      <c r="IZ2920" s="74"/>
      <c r="JA2920" s="74"/>
    </row>
    <row r="2921" spans="1:261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Q2921" s="74"/>
      <c r="R2921" s="74"/>
      <c r="S2921" s="74"/>
      <c r="T2921" s="74"/>
      <c r="U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  <c r="IW2921" s="74"/>
      <c r="IX2921" s="74"/>
      <c r="IY2921" s="74"/>
      <c r="IZ2921" s="74"/>
      <c r="JA2921" s="74"/>
    </row>
    <row r="2922" spans="1:261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Q2922" s="74"/>
      <c r="R2922" s="74"/>
      <c r="S2922" s="74"/>
      <c r="T2922" s="74"/>
      <c r="U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  <c r="IW2922" s="74"/>
      <c r="IX2922" s="74"/>
      <c r="IY2922" s="74"/>
      <c r="IZ2922" s="74"/>
      <c r="JA2922" s="74"/>
    </row>
    <row r="2923" spans="1:261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Q2923" s="74"/>
      <c r="R2923" s="74"/>
      <c r="S2923" s="74"/>
      <c r="T2923" s="74"/>
      <c r="U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  <c r="IW2923" s="74"/>
      <c r="IX2923" s="74"/>
      <c r="IY2923" s="74"/>
      <c r="IZ2923" s="74"/>
      <c r="JA2923" s="74"/>
    </row>
    <row r="2924" spans="1:261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Q2924" s="74"/>
      <c r="R2924" s="74"/>
      <c r="S2924" s="74"/>
      <c r="T2924" s="74"/>
      <c r="U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  <c r="IW2924" s="74"/>
      <c r="IX2924" s="74"/>
      <c r="IY2924" s="74"/>
      <c r="IZ2924" s="74"/>
      <c r="JA2924" s="74"/>
    </row>
    <row r="2925" spans="1:261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Q2925" s="74"/>
      <c r="R2925" s="74"/>
      <c r="S2925" s="74"/>
      <c r="T2925" s="74"/>
      <c r="U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  <c r="IW2925" s="74"/>
      <c r="IX2925" s="74"/>
      <c r="IY2925" s="74"/>
      <c r="IZ2925" s="74"/>
      <c r="JA2925" s="74"/>
    </row>
    <row r="2926" spans="1:261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Q2926" s="74"/>
      <c r="R2926" s="74"/>
      <c r="S2926" s="74"/>
      <c r="T2926" s="74"/>
      <c r="U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  <c r="IW2926" s="74"/>
      <c r="IX2926" s="74"/>
      <c r="IY2926" s="74"/>
      <c r="IZ2926" s="74"/>
      <c r="JA2926" s="74"/>
    </row>
    <row r="2927" spans="1:261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Q2927" s="74"/>
      <c r="R2927" s="74"/>
      <c r="S2927" s="74"/>
      <c r="T2927" s="74"/>
      <c r="U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  <c r="IW2927" s="74"/>
      <c r="IX2927" s="74"/>
      <c r="IY2927" s="74"/>
      <c r="IZ2927" s="74"/>
      <c r="JA2927" s="74"/>
    </row>
    <row r="2928" spans="1:261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Q2928" s="74"/>
      <c r="R2928" s="74"/>
      <c r="S2928" s="74"/>
      <c r="T2928" s="74"/>
      <c r="U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  <c r="IW2928" s="74"/>
      <c r="IX2928" s="74"/>
      <c r="IY2928" s="74"/>
      <c r="IZ2928" s="74"/>
      <c r="JA2928" s="74"/>
    </row>
    <row r="2929" spans="1:261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Q2929" s="74"/>
      <c r="R2929" s="74"/>
      <c r="S2929" s="74"/>
      <c r="T2929" s="74"/>
      <c r="U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  <c r="IW2929" s="74"/>
      <c r="IX2929" s="74"/>
      <c r="IY2929" s="74"/>
      <c r="IZ2929" s="74"/>
      <c r="JA2929" s="74"/>
    </row>
    <row r="2930" spans="1:261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Q2930" s="74"/>
      <c r="R2930" s="74"/>
      <c r="S2930" s="74"/>
      <c r="T2930" s="74"/>
      <c r="U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  <c r="IW2930" s="74"/>
      <c r="IX2930" s="74"/>
      <c r="IY2930" s="74"/>
      <c r="IZ2930" s="74"/>
      <c r="JA2930" s="74"/>
    </row>
    <row r="2931" spans="1:261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Q2931" s="74"/>
      <c r="R2931" s="74"/>
      <c r="S2931" s="74"/>
      <c r="T2931" s="74"/>
      <c r="U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  <c r="IW2931" s="74"/>
      <c r="IX2931" s="74"/>
      <c r="IY2931" s="74"/>
      <c r="IZ2931" s="74"/>
      <c r="JA2931" s="74"/>
    </row>
    <row r="2932" spans="1:261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Q2932" s="74"/>
      <c r="R2932" s="74"/>
      <c r="S2932" s="74"/>
      <c r="T2932" s="74"/>
      <c r="U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  <c r="IW2932" s="74"/>
      <c r="IX2932" s="74"/>
      <c r="IY2932" s="74"/>
      <c r="IZ2932" s="74"/>
      <c r="JA2932" s="74"/>
    </row>
    <row r="2933" spans="1:261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Q2933" s="74"/>
      <c r="R2933" s="74"/>
      <c r="S2933" s="74"/>
      <c r="T2933" s="74"/>
      <c r="U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  <c r="IW2933" s="74"/>
      <c r="IX2933" s="74"/>
      <c r="IY2933" s="74"/>
      <c r="IZ2933" s="74"/>
      <c r="JA2933" s="74"/>
    </row>
    <row r="2934" spans="1:261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Q2934" s="74"/>
      <c r="R2934" s="74"/>
      <c r="S2934" s="74"/>
      <c r="T2934" s="74"/>
      <c r="U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  <c r="IW2934" s="74"/>
      <c r="IX2934" s="74"/>
      <c r="IY2934" s="74"/>
      <c r="IZ2934" s="74"/>
      <c r="JA2934" s="74"/>
    </row>
    <row r="2935" spans="1:261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Q2935" s="74"/>
      <c r="R2935" s="74"/>
      <c r="S2935" s="74"/>
      <c r="T2935" s="74"/>
      <c r="U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  <c r="IW2935" s="74"/>
      <c r="IX2935" s="74"/>
      <c r="IY2935" s="74"/>
      <c r="IZ2935" s="74"/>
      <c r="JA2935" s="74"/>
    </row>
    <row r="2936" spans="1:261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Q2936" s="74"/>
      <c r="R2936" s="74"/>
      <c r="S2936" s="74"/>
      <c r="T2936" s="74"/>
      <c r="U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  <c r="IW2936" s="74"/>
      <c r="IX2936" s="74"/>
      <c r="IY2936" s="74"/>
      <c r="IZ2936" s="74"/>
      <c r="JA2936" s="74"/>
    </row>
    <row r="2937" spans="1:261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Q2937" s="74"/>
      <c r="R2937" s="74"/>
      <c r="S2937" s="74"/>
      <c r="T2937" s="74"/>
      <c r="U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  <c r="IW2937" s="74"/>
      <c r="IX2937" s="74"/>
      <c r="IY2937" s="74"/>
      <c r="IZ2937" s="74"/>
      <c r="JA2937" s="74"/>
    </row>
    <row r="2938" spans="1:261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Q2938" s="74"/>
      <c r="R2938" s="74"/>
      <c r="S2938" s="74"/>
      <c r="T2938" s="74"/>
      <c r="U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  <c r="IW2938" s="74"/>
      <c r="IX2938" s="74"/>
      <c r="IY2938" s="74"/>
      <c r="IZ2938" s="74"/>
      <c r="JA2938" s="74"/>
    </row>
    <row r="2939" spans="1:261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Q2939" s="74"/>
      <c r="R2939" s="74"/>
      <c r="S2939" s="74"/>
      <c r="T2939" s="74"/>
      <c r="U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  <c r="IW2939" s="74"/>
      <c r="IX2939" s="74"/>
      <c r="IY2939" s="74"/>
      <c r="IZ2939" s="74"/>
      <c r="JA2939" s="74"/>
    </row>
    <row r="2940" spans="1:261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Q2940" s="74"/>
      <c r="R2940" s="74"/>
      <c r="S2940" s="74"/>
      <c r="T2940" s="74"/>
      <c r="U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  <c r="IW2940" s="74"/>
      <c r="IX2940" s="74"/>
      <c r="IY2940" s="74"/>
      <c r="IZ2940" s="74"/>
      <c r="JA2940" s="74"/>
    </row>
    <row r="2941" spans="1:261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Q2941" s="74"/>
      <c r="R2941" s="74"/>
      <c r="S2941" s="74"/>
      <c r="T2941" s="74"/>
      <c r="U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  <c r="IW2941" s="74"/>
      <c r="IX2941" s="74"/>
      <c r="IY2941" s="74"/>
      <c r="IZ2941" s="74"/>
      <c r="JA2941" s="74"/>
    </row>
    <row r="2942" spans="1:261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Q2942" s="74"/>
      <c r="R2942" s="74"/>
      <c r="S2942" s="74"/>
      <c r="T2942" s="74"/>
      <c r="U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  <c r="IW2942" s="74"/>
      <c r="IX2942" s="74"/>
      <c r="IY2942" s="74"/>
      <c r="IZ2942" s="74"/>
      <c r="JA2942" s="74"/>
    </row>
    <row r="2943" spans="1:261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Q2943" s="74"/>
      <c r="R2943" s="74"/>
      <c r="S2943" s="74"/>
      <c r="T2943" s="74"/>
      <c r="U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  <c r="IW2943" s="74"/>
      <c r="IX2943" s="74"/>
      <c r="IY2943" s="74"/>
      <c r="IZ2943" s="74"/>
      <c r="JA2943" s="74"/>
    </row>
    <row r="2944" spans="1:261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Q2944" s="74"/>
      <c r="R2944" s="74"/>
      <c r="S2944" s="74"/>
      <c r="T2944" s="74"/>
      <c r="U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  <c r="IW2944" s="74"/>
      <c r="IX2944" s="74"/>
      <c r="IY2944" s="74"/>
      <c r="IZ2944" s="74"/>
      <c r="JA2944" s="74"/>
    </row>
    <row r="2945" spans="1:261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Q2945" s="74"/>
      <c r="R2945" s="74"/>
      <c r="S2945" s="74"/>
      <c r="T2945" s="74"/>
      <c r="U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  <c r="IW2945" s="74"/>
      <c r="IX2945" s="74"/>
      <c r="IY2945" s="74"/>
      <c r="IZ2945" s="74"/>
      <c r="JA2945" s="74"/>
    </row>
    <row r="2946" spans="1:261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Q2946" s="74"/>
      <c r="R2946" s="74"/>
      <c r="S2946" s="74"/>
      <c r="T2946" s="74"/>
      <c r="U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  <c r="IW2946" s="74"/>
      <c r="IX2946" s="74"/>
      <c r="IY2946" s="74"/>
      <c r="IZ2946" s="74"/>
      <c r="JA2946" s="74"/>
    </row>
    <row r="2947" spans="1:261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Q2947" s="74"/>
      <c r="R2947" s="74"/>
      <c r="S2947" s="74"/>
      <c r="T2947" s="74"/>
      <c r="U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  <c r="IW2947" s="74"/>
      <c r="IX2947" s="74"/>
      <c r="IY2947" s="74"/>
      <c r="IZ2947" s="74"/>
      <c r="JA2947" s="74"/>
    </row>
    <row r="2948" spans="1:261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Q2948" s="74"/>
      <c r="R2948" s="74"/>
      <c r="S2948" s="74"/>
      <c r="T2948" s="74"/>
      <c r="U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  <c r="IW2948" s="74"/>
      <c r="IX2948" s="74"/>
      <c r="IY2948" s="74"/>
      <c r="IZ2948" s="74"/>
      <c r="JA2948" s="74"/>
    </row>
    <row r="2949" spans="1:261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Q2949" s="74"/>
      <c r="R2949" s="74"/>
      <c r="S2949" s="74"/>
      <c r="T2949" s="74"/>
      <c r="U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  <c r="IW2949" s="74"/>
      <c r="IX2949" s="74"/>
      <c r="IY2949" s="74"/>
      <c r="IZ2949" s="74"/>
      <c r="JA2949" s="74"/>
    </row>
    <row r="2950" spans="1:261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Q2950" s="74"/>
      <c r="R2950" s="74"/>
      <c r="S2950" s="74"/>
      <c r="T2950" s="74"/>
      <c r="U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  <c r="IW2950" s="74"/>
      <c r="IX2950" s="74"/>
      <c r="IY2950" s="74"/>
      <c r="IZ2950" s="74"/>
      <c r="JA2950" s="74"/>
    </row>
    <row r="2951" spans="1:261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Q2951" s="74"/>
      <c r="R2951" s="74"/>
      <c r="S2951" s="74"/>
      <c r="T2951" s="74"/>
      <c r="U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  <c r="IW2951" s="74"/>
      <c r="IX2951" s="74"/>
      <c r="IY2951" s="74"/>
      <c r="IZ2951" s="74"/>
      <c r="JA2951" s="74"/>
    </row>
    <row r="2952" spans="1:261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Q2952" s="74"/>
      <c r="R2952" s="74"/>
      <c r="S2952" s="74"/>
      <c r="T2952" s="74"/>
      <c r="U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  <c r="IW2952" s="74"/>
      <c r="IX2952" s="74"/>
      <c r="IY2952" s="74"/>
      <c r="IZ2952" s="74"/>
      <c r="JA2952" s="74"/>
    </row>
    <row r="2953" spans="1:261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Q2953" s="74"/>
      <c r="R2953" s="74"/>
      <c r="S2953" s="74"/>
      <c r="T2953" s="74"/>
      <c r="U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  <c r="IW2953" s="74"/>
      <c r="IX2953" s="74"/>
      <c r="IY2953" s="74"/>
      <c r="IZ2953" s="74"/>
      <c r="JA2953" s="74"/>
    </row>
    <row r="2954" spans="1:261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Q2954" s="74"/>
      <c r="R2954" s="74"/>
      <c r="S2954" s="74"/>
      <c r="T2954" s="74"/>
      <c r="U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  <c r="IW2954" s="74"/>
      <c r="IX2954" s="74"/>
      <c r="IY2954" s="74"/>
      <c r="IZ2954" s="74"/>
      <c r="JA2954" s="74"/>
    </row>
    <row r="2955" spans="1:261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Q2955" s="74"/>
      <c r="R2955" s="74"/>
      <c r="S2955" s="74"/>
      <c r="T2955" s="74"/>
      <c r="U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  <c r="IW2955" s="74"/>
      <c r="IX2955" s="74"/>
      <c r="IY2955" s="74"/>
      <c r="IZ2955" s="74"/>
      <c r="JA2955" s="74"/>
    </row>
    <row r="2956" spans="1:261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Q2956" s="74"/>
      <c r="R2956" s="74"/>
      <c r="S2956" s="74"/>
      <c r="T2956" s="74"/>
      <c r="U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  <c r="IW2956" s="74"/>
      <c r="IX2956" s="74"/>
      <c r="IY2956" s="74"/>
      <c r="IZ2956" s="74"/>
      <c r="JA2956" s="74"/>
    </row>
    <row r="2957" spans="1:261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Q2957" s="74"/>
      <c r="R2957" s="74"/>
      <c r="S2957" s="74"/>
      <c r="T2957" s="74"/>
      <c r="U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  <c r="IW2957" s="74"/>
      <c r="IX2957" s="74"/>
      <c r="IY2957" s="74"/>
      <c r="IZ2957" s="74"/>
      <c r="JA2957" s="74"/>
    </row>
    <row r="2958" spans="1:261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Q2958" s="74"/>
      <c r="R2958" s="74"/>
      <c r="S2958" s="74"/>
      <c r="T2958" s="74"/>
      <c r="U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  <c r="IW2958" s="74"/>
      <c r="IX2958" s="74"/>
      <c r="IY2958" s="74"/>
      <c r="IZ2958" s="74"/>
      <c r="JA2958" s="74"/>
    </row>
    <row r="2959" spans="1:261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Q2959" s="74"/>
      <c r="R2959" s="74"/>
      <c r="S2959" s="74"/>
      <c r="T2959" s="74"/>
      <c r="U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  <c r="IW2959" s="74"/>
      <c r="IX2959" s="74"/>
      <c r="IY2959" s="74"/>
      <c r="IZ2959" s="74"/>
      <c r="JA2959" s="74"/>
    </row>
    <row r="2960" spans="1:261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Q2960" s="74"/>
      <c r="R2960" s="74"/>
      <c r="S2960" s="74"/>
      <c r="T2960" s="74"/>
      <c r="U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  <c r="IW2960" s="74"/>
      <c r="IX2960" s="74"/>
      <c r="IY2960" s="74"/>
      <c r="IZ2960" s="74"/>
      <c r="JA2960" s="74"/>
    </row>
    <row r="2961" spans="1:261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Q2961" s="74"/>
      <c r="R2961" s="74"/>
      <c r="S2961" s="74"/>
      <c r="T2961" s="74"/>
      <c r="U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  <c r="IW2961" s="74"/>
      <c r="IX2961" s="74"/>
      <c r="IY2961" s="74"/>
      <c r="IZ2961" s="74"/>
      <c r="JA2961" s="74"/>
    </row>
    <row r="2962" spans="1:261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Q2962" s="74"/>
      <c r="R2962" s="74"/>
      <c r="S2962" s="74"/>
      <c r="T2962" s="74"/>
      <c r="U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  <c r="IW2962" s="74"/>
      <c r="IX2962" s="74"/>
      <c r="IY2962" s="74"/>
      <c r="IZ2962" s="74"/>
      <c r="JA2962" s="74"/>
    </row>
    <row r="2963" spans="1:261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Q2963" s="74"/>
      <c r="R2963" s="74"/>
      <c r="S2963" s="74"/>
      <c r="T2963" s="74"/>
      <c r="U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  <c r="IW2963" s="74"/>
      <c r="IX2963" s="74"/>
      <c r="IY2963" s="74"/>
      <c r="IZ2963" s="74"/>
      <c r="JA2963" s="74"/>
    </row>
    <row r="2964" spans="1:261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Q2964" s="74"/>
      <c r="R2964" s="74"/>
      <c r="S2964" s="74"/>
      <c r="T2964" s="74"/>
      <c r="U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  <c r="IW2964" s="74"/>
      <c r="IX2964" s="74"/>
      <c r="IY2964" s="74"/>
      <c r="IZ2964" s="74"/>
      <c r="JA2964" s="74"/>
    </row>
    <row r="2965" spans="1:261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Q2965" s="74"/>
      <c r="R2965" s="74"/>
      <c r="S2965" s="74"/>
      <c r="T2965" s="74"/>
      <c r="U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  <c r="IW2965" s="74"/>
      <c r="IX2965" s="74"/>
      <c r="IY2965" s="74"/>
      <c r="IZ2965" s="74"/>
      <c r="JA2965" s="74"/>
    </row>
    <row r="2966" spans="1:261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Q2966" s="74"/>
      <c r="R2966" s="74"/>
      <c r="S2966" s="74"/>
      <c r="T2966" s="74"/>
      <c r="U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  <c r="IW2966" s="74"/>
      <c r="IX2966" s="74"/>
      <c r="IY2966" s="74"/>
      <c r="IZ2966" s="74"/>
      <c r="JA2966" s="74"/>
    </row>
    <row r="2967" spans="1:261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Q2967" s="74"/>
      <c r="R2967" s="74"/>
      <c r="S2967" s="74"/>
      <c r="T2967" s="74"/>
      <c r="U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  <c r="IW2967" s="74"/>
      <c r="IX2967" s="74"/>
      <c r="IY2967" s="74"/>
      <c r="IZ2967" s="74"/>
      <c r="JA2967" s="74"/>
    </row>
    <row r="2968" spans="1:261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Q2968" s="74"/>
      <c r="R2968" s="74"/>
      <c r="S2968" s="74"/>
      <c r="T2968" s="74"/>
      <c r="U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  <c r="IW2968" s="74"/>
      <c r="IX2968" s="74"/>
      <c r="IY2968" s="74"/>
      <c r="IZ2968" s="74"/>
      <c r="JA2968" s="74"/>
    </row>
    <row r="2969" spans="1:261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Q2969" s="74"/>
      <c r="R2969" s="74"/>
      <c r="S2969" s="74"/>
      <c r="T2969" s="74"/>
      <c r="U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  <c r="IW2969" s="74"/>
      <c r="IX2969" s="74"/>
      <c r="IY2969" s="74"/>
      <c r="IZ2969" s="74"/>
      <c r="JA2969" s="74"/>
    </row>
    <row r="2970" spans="1:261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Q2970" s="74"/>
      <c r="R2970" s="74"/>
      <c r="S2970" s="74"/>
      <c r="T2970" s="74"/>
      <c r="U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  <c r="IW2970" s="74"/>
      <c r="IX2970" s="74"/>
      <c r="IY2970" s="74"/>
      <c r="IZ2970" s="74"/>
      <c r="JA2970" s="74"/>
    </row>
    <row r="2971" spans="1:261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  <c r="IW2971" s="74"/>
      <c r="IX2971" s="74"/>
      <c r="IY2971" s="74"/>
      <c r="IZ2971" s="74"/>
      <c r="JA2971" s="74"/>
    </row>
    <row r="2972" spans="1:261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Q2972" s="74"/>
      <c r="R2972" s="74"/>
      <c r="S2972" s="74"/>
      <c r="T2972" s="74"/>
      <c r="U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  <c r="IW2972" s="74"/>
      <c r="IX2972" s="74"/>
      <c r="IY2972" s="74"/>
      <c r="IZ2972" s="74"/>
      <c r="JA2972" s="74"/>
    </row>
    <row r="2973" spans="1:261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  <c r="IW2973" s="74"/>
      <c r="IX2973" s="74"/>
      <c r="IY2973" s="74"/>
      <c r="IZ2973" s="74"/>
      <c r="JA2973" s="74"/>
    </row>
    <row r="2974" spans="1:261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Q2974" s="74"/>
      <c r="R2974" s="74"/>
      <c r="S2974" s="74"/>
      <c r="T2974" s="74"/>
      <c r="U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  <c r="IW2974" s="74"/>
      <c r="IX2974" s="74"/>
      <c r="IY2974" s="74"/>
      <c r="IZ2974" s="74"/>
      <c r="JA2974" s="74"/>
    </row>
    <row r="2975" spans="1:261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Q2975" s="74"/>
      <c r="R2975" s="74"/>
      <c r="S2975" s="74"/>
      <c r="T2975" s="74"/>
      <c r="U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  <c r="IW2975" s="74"/>
      <c r="IX2975" s="74"/>
      <c r="IY2975" s="74"/>
      <c r="IZ2975" s="74"/>
      <c r="JA2975" s="74"/>
    </row>
    <row r="2976" spans="1:261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Q2976" s="74"/>
      <c r="R2976" s="74"/>
      <c r="S2976" s="74"/>
      <c r="T2976" s="74"/>
      <c r="U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  <c r="IW2976" s="74"/>
      <c r="IX2976" s="74"/>
      <c r="IY2976" s="74"/>
      <c r="IZ2976" s="74"/>
      <c r="JA2976" s="74"/>
    </row>
    <row r="2977" spans="1:261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  <c r="IW2977" s="74"/>
      <c r="IX2977" s="74"/>
      <c r="IY2977" s="74"/>
      <c r="IZ2977" s="74"/>
      <c r="JA2977" s="74"/>
    </row>
    <row r="2978" spans="1:261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Q2978" s="74"/>
      <c r="R2978" s="74"/>
      <c r="S2978" s="74"/>
      <c r="T2978" s="74"/>
      <c r="U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  <c r="IW2978" s="74"/>
      <c r="IX2978" s="74"/>
      <c r="IY2978" s="74"/>
      <c r="IZ2978" s="74"/>
      <c r="JA2978" s="74"/>
    </row>
    <row r="2979" spans="1:261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  <c r="IW2979" s="74"/>
      <c r="IX2979" s="74"/>
      <c r="IY2979" s="74"/>
      <c r="IZ2979" s="74"/>
      <c r="JA2979" s="74"/>
    </row>
    <row r="2980" spans="1:261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Q2980" s="74"/>
      <c r="R2980" s="74"/>
      <c r="S2980" s="74"/>
      <c r="T2980" s="74"/>
      <c r="U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  <c r="IW2980" s="74"/>
      <c r="IX2980" s="74"/>
      <c r="IY2980" s="74"/>
      <c r="IZ2980" s="74"/>
      <c r="JA2980" s="74"/>
    </row>
    <row r="2981" spans="1:261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Q2981" s="74"/>
      <c r="R2981" s="74"/>
      <c r="S2981" s="74"/>
      <c r="T2981" s="74"/>
      <c r="U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  <c r="IW2981" s="74"/>
      <c r="IX2981" s="74"/>
      <c r="IY2981" s="74"/>
      <c r="IZ2981" s="74"/>
      <c r="JA2981" s="74"/>
    </row>
    <row r="2982" spans="1:261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Q2982" s="74"/>
      <c r="R2982" s="74"/>
      <c r="S2982" s="74"/>
      <c r="T2982" s="74"/>
      <c r="U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  <c r="IW2982" s="74"/>
      <c r="IX2982" s="74"/>
      <c r="IY2982" s="74"/>
      <c r="IZ2982" s="74"/>
      <c r="JA2982" s="74"/>
    </row>
    <row r="2983" spans="1:261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Q2983" s="74"/>
      <c r="R2983" s="74"/>
      <c r="S2983" s="74"/>
      <c r="T2983" s="74"/>
      <c r="U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  <c r="IW2983" s="74"/>
      <c r="IX2983" s="74"/>
      <c r="IY2983" s="74"/>
      <c r="IZ2983" s="74"/>
      <c r="JA2983" s="74"/>
    </row>
    <row r="2984" spans="1:261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Q2984" s="74"/>
      <c r="R2984" s="74"/>
      <c r="S2984" s="74"/>
      <c r="T2984" s="74"/>
      <c r="U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  <c r="IW2984" s="74"/>
      <c r="IX2984" s="74"/>
      <c r="IY2984" s="74"/>
      <c r="IZ2984" s="74"/>
      <c r="JA2984" s="74"/>
    </row>
    <row r="2985" spans="1:261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Q2985" s="74"/>
      <c r="R2985" s="74"/>
      <c r="S2985" s="74"/>
      <c r="T2985" s="74"/>
      <c r="U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  <c r="IW2985" s="74"/>
      <c r="IX2985" s="74"/>
      <c r="IY2985" s="74"/>
      <c r="IZ2985" s="74"/>
      <c r="JA2985" s="74"/>
    </row>
    <row r="2986" spans="1:261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Q2986" s="74"/>
      <c r="R2986" s="74"/>
      <c r="S2986" s="74"/>
      <c r="T2986" s="74"/>
      <c r="U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  <c r="IW2986" s="74"/>
      <c r="IX2986" s="74"/>
      <c r="IY2986" s="74"/>
      <c r="IZ2986" s="74"/>
      <c r="JA2986" s="74"/>
    </row>
    <row r="2987" spans="1:261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Q2987" s="74"/>
      <c r="R2987" s="74"/>
      <c r="S2987" s="74"/>
      <c r="T2987" s="74"/>
      <c r="U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  <c r="IW2987" s="74"/>
      <c r="IX2987" s="74"/>
      <c r="IY2987" s="74"/>
      <c r="IZ2987" s="74"/>
      <c r="JA2987" s="74"/>
    </row>
    <row r="2988" spans="1:261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Q2988" s="74"/>
      <c r="R2988" s="74"/>
      <c r="S2988" s="74"/>
      <c r="T2988" s="74"/>
      <c r="U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  <c r="IW2988" s="74"/>
      <c r="IX2988" s="74"/>
      <c r="IY2988" s="74"/>
      <c r="IZ2988" s="74"/>
      <c r="JA2988" s="74"/>
    </row>
    <row r="2989" spans="1:261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Q2989" s="74"/>
      <c r="R2989" s="74"/>
      <c r="S2989" s="74"/>
      <c r="T2989" s="74"/>
      <c r="U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  <c r="IW2989" s="74"/>
      <c r="IX2989" s="74"/>
      <c r="IY2989" s="74"/>
      <c r="IZ2989" s="74"/>
      <c r="JA2989" s="74"/>
    </row>
    <row r="2990" spans="1:261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Q2990" s="74"/>
      <c r="R2990" s="74"/>
      <c r="S2990" s="74"/>
      <c r="T2990" s="74"/>
      <c r="U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  <c r="IW2990" s="74"/>
      <c r="IX2990" s="74"/>
      <c r="IY2990" s="74"/>
      <c r="IZ2990" s="74"/>
      <c r="JA2990" s="74"/>
    </row>
    <row r="2991" spans="1:261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Q2991" s="74"/>
      <c r="R2991" s="74"/>
      <c r="S2991" s="74"/>
      <c r="T2991" s="74"/>
      <c r="U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  <c r="IW2991" s="74"/>
      <c r="IX2991" s="74"/>
      <c r="IY2991" s="74"/>
      <c r="IZ2991" s="74"/>
      <c r="JA2991" s="74"/>
    </row>
    <row r="2992" spans="1:261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Q2992" s="74"/>
      <c r="R2992" s="74"/>
      <c r="S2992" s="74"/>
      <c r="T2992" s="74"/>
      <c r="U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  <c r="IW2992" s="74"/>
      <c r="IX2992" s="74"/>
      <c r="IY2992" s="74"/>
      <c r="IZ2992" s="74"/>
      <c r="JA2992" s="74"/>
    </row>
    <row r="2993" spans="1:261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Q2993" s="74"/>
      <c r="R2993" s="74"/>
      <c r="S2993" s="74"/>
      <c r="T2993" s="74"/>
      <c r="U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  <c r="IW2993" s="74"/>
      <c r="IX2993" s="74"/>
      <c r="IY2993" s="74"/>
      <c r="IZ2993" s="74"/>
      <c r="JA2993" s="74"/>
    </row>
    <row r="2994" spans="1:261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Q2994" s="74"/>
      <c r="R2994" s="74"/>
      <c r="S2994" s="74"/>
      <c r="T2994" s="74"/>
      <c r="U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  <c r="IW2994" s="74"/>
      <c r="IX2994" s="74"/>
      <c r="IY2994" s="74"/>
      <c r="IZ2994" s="74"/>
      <c r="JA2994" s="74"/>
    </row>
    <row r="2995" spans="1:261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Q2995" s="74"/>
      <c r="R2995" s="74"/>
      <c r="S2995" s="74"/>
      <c r="T2995" s="74"/>
      <c r="U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  <c r="IW2995" s="74"/>
      <c r="IX2995" s="74"/>
      <c r="IY2995" s="74"/>
      <c r="IZ2995" s="74"/>
      <c r="JA2995" s="74"/>
    </row>
    <row r="2996" spans="1:261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Q2996" s="74"/>
      <c r="R2996" s="74"/>
      <c r="S2996" s="74"/>
      <c r="T2996" s="74"/>
      <c r="U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  <c r="IW2996" s="74"/>
      <c r="IX2996" s="74"/>
      <c r="IY2996" s="74"/>
      <c r="IZ2996" s="74"/>
      <c r="JA2996" s="74"/>
    </row>
    <row r="2997" spans="1:261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Q2997" s="74"/>
      <c r="R2997" s="74"/>
      <c r="S2997" s="74"/>
      <c r="T2997" s="74"/>
      <c r="U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  <c r="IW2997" s="74"/>
      <c r="IX2997" s="74"/>
      <c r="IY2997" s="74"/>
      <c r="IZ2997" s="74"/>
      <c r="JA2997" s="74"/>
    </row>
    <row r="2998" spans="1:261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Q2998" s="74"/>
      <c r="R2998" s="74"/>
      <c r="S2998" s="74"/>
      <c r="T2998" s="74"/>
      <c r="U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  <c r="IW2998" s="74"/>
      <c r="IX2998" s="74"/>
      <c r="IY2998" s="74"/>
      <c r="IZ2998" s="74"/>
      <c r="JA2998" s="74"/>
    </row>
    <row r="2999" spans="1:261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Q2999" s="74"/>
      <c r="R2999" s="74"/>
      <c r="S2999" s="74"/>
      <c r="T2999" s="74"/>
      <c r="U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  <c r="IW2999" s="74"/>
      <c r="IX2999" s="74"/>
      <c r="IY2999" s="74"/>
      <c r="IZ2999" s="74"/>
      <c r="JA2999" s="74"/>
    </row>
    <row r="3000" spans="1:261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Q3000" s="74"/>
      <c r="R3000" s="74"/>
      <c r="S3000" s="74"/>
      <c r="T3000" s="74"/>
      <c r="U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  <c r="IW3000" s="74"/>
      <c r="IX3000" s="74"/>
      <c r="IY3000" s="74"/>
      <c r="IZ3000" s="74"/>
      <c r="JA3000" s="74"/>
    </row>
    <row r="3001" spans="1:261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Q3001" s="74"/>
      <c r="R3001" s="74"/>
      <c r="S3001" s="74"/>
      <c r="T3001" s="74"/>
      <c r="U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  <c r="IW3001" s="74"/>
      <c r="IX3001" s="74"/>
      <c r="IY3001" s="74"/>
      <c r="IZ3001" s="74"/>
      <c r="JA3001" s="74"/>
    </row>
    <row r="3002" spans="1:261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Q3002" s="74"/>
      <c r="R3002" s="74"/>
      <c r="S3002" s="74"/>
      <c r="T3002" s="74"/>
      <c r="U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  <c r="IW3002" s="74"/>
      <c r="IX3002" s="74"/>
      <c r="IY3002" s="74"/>
      <c r="IZ3002" s="74"/>
      <c r="JA3002" s="74"/>
    </row>
    <row r="3003" spans="1:261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Q3003" s="74"/>
      <c r="R3003" s="74"/>
      <c r="S3003" s="74"/>
      <c r="T3003" s="74"/>
      <c r="U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  <c r="IW3003" s="74"/>
      <c r="IX3003" s="74"/>
      <c r="IY3003" s="74"/>
      <c r="IZ3003" s="74"/>
      <c r="JA3003" s="74"/>
    </row>
    <row r="3004" spans="1:261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Q3004" s="74"/>
      <c r="R3004" s="74"/>
      <c r="S3004" s="74"/>
      <c r="T3004" s="74"/>
      <c r="U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  <c r="IW3004" s="74"/>
      <c r="IX3004" s="74"/>
      <c r="IY3004" s="74"/>
      <c r="IZ3004" s="74"/>
      <c r="JA3004" s="74"/>
    </row>
    <row r="3005" spans="1:261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Q3005" s="74"/>
      <c r="R3005" s="74"/>
      <c r="S3005" s="74"/>
      <c r="T3005" s="74"/>
      <c r="U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  <c r="IW3005" s="74"/>
      <c r="IX3005" s="74"/>
      <c r="IY3005" s="74"/>
      <c r="IZ3005" s="74"/>
      <c r="JA3005" s="74"/>
    </row>
    <row r="3006" spans="1:261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Q3006" s="74"/>
      <c r="R3006" s="74"/>
      <c r="S3006" s="74"/>
      <c r="T3006" s="74"/>
      <c r="U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  <c r="IW3006" s="74"/>
      <c r="IX3006" s="74"/>
      <c r="IY3006" s="74"/>
      <c r="IZ3006" s="74"/>
      <c r="JA3006" s="74"/>
    </row>
    <row r="3007" spans="1:261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Q3007" s="74"/>
      <c r="R3007" s="74"/>
      <c r="S3007" s="74"/>
      <c r="T3007" s="74"/>
      <c r="U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  <c r="IW3007" s="74"/>
      <c r="IX3007" s="74"/>
      <c r="IY3007" s="74"/>
      <c r="IZ3007" s="74"/>
      <c r="JA3007" s="74"/>
    </row>
    <row r="3008" spans="1:261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Q3008" s="74"/>
      <c r="R3008" s="74"/>
      <c r="S3008" s="74"/>
      <c r="T3008" s="74"/>
      <c r="U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  <c r="IW3008" s="74"/>
      <c r="IX3008" s="74"/>
      <c r="IY3008" s="74"/>
      <c r="IZ3008" s="74"/>
      <c r="JA3008" s="74"/>
    </row>
    <row r="3009" spans="1:261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Q3009" s="74"/>
      <c r="R3009" s="74"/>
      <c r="S3009" s="74"/>
      <c r="T3009" s="74"/>
      <c r="U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  <c r="IW3009" s="74"/>
      <c r="IX3009" s="74"/>
      <c r="IY3009" s="74"/>
      <c r="IZ3009" s="74"/>
      <c r="JA3009" s="74"/>
    </row>
    <row r="3010" spans="1:261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Q3010" s="74"/>
      <c r="R3010" s="74"/>
      <c r="S3010" s="74"/>
      <c r="T3010" s="74"/>
      <c r="U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  <c r="IW3010" s="74"/>
      <c r="IX3010" s="74"/>
      <c r="IY3010" s="74"/>
      <c r="IZ3010" s="74"/>
      <c r="JA3010" s="74"/>
    </row>
    <row r="3011" spans="1:261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Q3011" s="74"/>
      <c r="R3011" s="74"/>
      <c r="S3011" s="74"/>
      <c r="T3011" s="74"/>
      <c r="U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  <c r="IW3011" s="74"/>
      <c r="IX3011" s="74"/>
      <c r="IY3011" s="74"/>
      <c r="IZ3011" s="74"/>
      <c r="JA3011" s="74"/>
    </row>
    <row r="3012" spans="1:261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Q3012" s="74"/>
      <c r="R3012" s="74"/>
      <c r="S3012" s="74"/>
      <c r="T3012" s="74"/>
      <c r="U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  <c r="IW3012" s="74"/>
      <c r="IX3012" s="74"/>
      <c r="IY3012" s="74"/>
      <c r="IZ3012" s="74"/>
      <c r="JA3012" s="74"/>
    </row>
    <row r="3013" spans="1:261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Q3013" s="74"/>
      <c r="R3013" s="74"/>
      <c r="S3013" s="74"/>
      <c r="T3013" s="74"/>
      <c r="U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  <c r="IW3013" s="74"/>
      <c r="IX3013" s="74"/>
      <c r="IY3013" s="74"/>
      <c r="IZ3013" s="74"/>
      <c r="JA3013" s="74"/>
    </row>
    <row r="3014" spans="1:261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Q3014" s="74"/>
      <c r="R3014" s="74"/>
      <c r="S3014" s="74"/>
      <c r="T3014" s="74"/>
      <c r="U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  <c r="IW3014" s="74"/>
      <c r="IX3014" s="74"/>
      <c r="IY3014" s="74"/>
      <c r="IZ3014" s="74"/>
      <c r="JA3014" s="74"/>
    </row>
    <row r="3015" spans="1:261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Q3015" s="74"/>
      <c r="R3015" s="74"/>
      <c r="S3015" s="74"/>
      <c r="T3015" s="74"/>
      <c r="U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  <c r="IW3015" s="74"/>
      <c r="IX3015" s="74"/>
      <c r="IY3015" s="74"/>
      <c r="IZ3015" s="74"/>
      <c r="JA3015" s="74"/>
    </row>
    <row r="3016" spans="1:261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Q3016" s="74"/>
      <c r="R3016" s="74"/>
      <c r="S3016" s="74"/>
      <c r="T3016" s="74"/>
      <c r="U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  <c r="IW3016" s="74"/>
      <c r="IX3016" s="74"/>
      <c r="IY3016" s="74"/>
      <c r="IZ3016" s="74"/>
      <c r="JA3016" s="74"/>
    </row>
    <row r="3017" spans="1:261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Q3017" s="74"/>
      <c r="R3017" s="74"/>
      <c r="S3017" s="74"/>
      <c r="T3017" s="74"/>
      <c r="U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  <c r="IW3017" s="74"/>
      <c r="IX3017" s="74"/>
      <c r="IY3017" s="74"/>
      <c r="IZ3017" s="74"/>
      <c r="JA3017" s="74"/>
    </row>
    <row r="3018" spans="1:261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Q3018" s="74"/>
      <c r="R3018" s="74"/>
      <c r="S3018" s="74"/>
      <c r="T3018" s="74"/>
      <c r="U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  <c r="IW3018" s="74"/>
      <c r="IX3018" s="74"/>
      <c r="IY3018" s="74"/>
      <c r="IZ3018" s="74"/>
      <c r="JA3018" s="74"/>
    </row>
    <row r="3019" spans="1:261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Q3019" s="74"/>
      <c r="R3019" s="74"/>
      <c r="S3019" s="74"/>
      <c r="T3019" s="74"/>
      <c r="U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  <c r="IW3019" s="74"/>
      <c r="IX3019" s="74"/>
      <c r="IY3019" s="74"/>
      <c r="IZ3019" s="74"/>
      <c r="JA3019" s="74"/>
    </row>
    <row r="3020" spans="1:261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Q3020" s="74"/>
      <c r="R3020" s="74"/>
      <c r="S3020" s="74"/>
      <c r="T3020" s="74"/>
      <c r="U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  <c r="IW3020" s="74"/>
      <c r="IX3020" s="74"/>
      <c r="IY3020" s="74"/>
      <c r="IZ3020" s="74"/>
      <c r="JA3020" s="74"/>
    </row>
    <row r="3021" spans="1:261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Q3021" s="74"/>
      <c r="R3021" s="74"/>
      <c r="S3021" s="74"/>
      <c r="T3021" s="74"/>
      <c r="U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  <c r="IW3021" s="74"/>
      <c r="IX3021" s="74"/>
      <c r="IY3021" s="74"/>
      <c r="IZ3021" s="74"/>
      <c r="JA3021" s="74"/>
    </row>
    <row r="3022" spans="1:261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Q3022" s="74"/>
      <c r="R3022" s="74"/>
      <c r="S3022" s="74"/>
      <c r="T3022" s="74"/>
      <c r="U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  <c r="IW3022" s="74"/>
      <c r="IX3022" s="74"/>
      <c r="IY3022" s="74"/>
      <c r="IZ3022" s="74"/>
      <c r="JA3022" s="74"/>
    </row>
    <row r="3023" spans="1:261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Q3023" s="74"/>
      <c r="R3023" s="74"/>
      <c r="S3023" s="74"/>
      <c r="T3023" s="74"/>
      <c r="U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  <c r="IW3023" s="74"/>
      <c r="IX3023" s="74"/>
      <c r="IY3023" s="74"/>
      <c r="IZ3023" s="74"/>
      <c r="JA3023" s="74"/>
    </row>
    <row r="3024" spans="1:261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Q3024" s="74"/>
      <c r="R3024" s="74"/>
      <c r="S3024" s="74"/>
      <c r="T3024" s="74"/>
      <c r="U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  <c r="IW3024" s="74"/>
      <c r="IX3024" s="74"/>
      <c r="IY3024" s="74"/>
      <c r="IZ3024" s="74"/>
      <c r="JA3024" s="74"/>
    </row>
    <row r="3025" spans="1:261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Q3025" s="74"/>
      <c r="R3025" s="74"/>
      <c r="S3025" s="74"/>
      <c r="T3025" s="74"/>
      <c r="U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  <c r="IW3025" s="74"/>
      <c r="IX3025" s="74"/>
      <c r="IY3025" s="74"/>
      <c r="IZ3025" s="74"/>
      <c r="JA3025" s="74"/>
    </row>
    <row r="3026" spans="1:261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Q3026" s="74"/>
      <c r="R3026" s="74"/>
      <c r="S3026" s="74"/>
      <c r="T3026" s="74"/>
      <c r="U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  <c r="IW3026" s="74"/>
      <c r="IX3026" s="74"/>
      <c r="IY3026" s="74"/>
      <c r="IZ3026" s="74"/>
      <c r="JA3026" s="74"/>
    </row>
    <row r="3027" spans="1:261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Q3027" s="74"/>
      <c r="R3027" s="74"/>
      <c r="S3027" s="74"/>
      <c r="T3027" s="74"/>
      <c r="U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  <c r="IW3027" s="74"/>
      <c r="IX3027" s="74"/>
      <c r="IY3027" s="74"/>
      <c r="IZ3027" s="74"/>
      <c r="JA3027" s="74"/>
    </row>
    <row r="3028" spans="1:261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Q3028" s="74"/>
      <c r="R3028" s="74"/>
      <c r="S3028" s="74"/>
      <c r="T3028" s="74"/>
      <c r="U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  <c r="IW3028" s="74"/>
      <c r="IX3028" s="74"/>
      <c r="IY3028" s="74"/>
      <c r="IZ3028" s="74"/>
      <c r="JA3028" s="74"/>
    </row>
    <row r="3029" spans="1:261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Q3029" s="74"/>
      <c r="R3029" s="74"/>
      <c r="S3029" s="74"/>
      <c r="T3029" s="74"/>
      <c r="U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  <c r="IW3029" s="74"/>
      <c r="IX3029" s="74"/>
      <c r="IY3029" s="74"/>
      <c r="IZ3029" s="74"/>
      <c r="JA3029" s="74"/>
    </row>
    <row r="3030" spans="1:261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Q3030" s="74"/>
      <c r="R3030" s="74"/>
      <c r="S3030" s="74"/>
      <c r="T3030" s="74"/>
      <c r="U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  <c r="IW3030" s="74"/>
      <c r="IX3030" s="74"/>
      <c r="IY3030" s="74"/>
      <c r="IZ3030" s="74"/>
      <c r="JA3030" s="74"/>
    </row>
    <row r="3031" spans="1:261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Q3031" s="74"/>
      <c r="R3031" s="74"/>
      <c r="S3031" s="74"/>
      <c r="T3031" s="74"/>
      <c r="U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  <c r="IW3031" s="74"/>
      <c r="IX3031" s="74"/>
      <c r="IY3031" s="74"/>
      <c r="IZ3031" s="74"/>
      <c r="JA3031" s="74"/>
    </row>
    <row r="3032" spans="1:261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Q3032" s="74"/>
      <c r="R3032" s="74"/>
      <c r="S3032" s="74"/>
      <c r="T3032" s="74"/>
      <c r="U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  <c r="IW3032" s="74"/>
      <c r="IX3032" s="74"/>
      <c r="IY3032" s="74"/>
      <c r="IZ3032" s="74"/>
      <c r="JA3032" s="74"/>
    </row>
    <row r="3033" spans="1:261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Q3033" s="74"/>
      <c r="R3033" s="74"/>
      <c r="S3033" s="74"/>
      <c r="T3033" s="74"/>
      <c r="U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  <c r="IW3033" s="74"/>
      <c r="IX3033" s="74"/>
      <c r="IY3033" s="74"/>
      <c r="IZ3033" s="74"/>
      <c r="JA3033" s="74"/>
    </row>
    <row r="3034" spans="1:261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Q3034" s="74"/>
      <c r="R3034" s="74"/>
      <c r="S3034" s="74"/>
      <c r="T3034" s="74"/>
      <c r="U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  <c r="IW3034" s="74"/>
      <c r="IX3034" s="74"/>
      <c r="IY3034" s="74"/>
      <c r="IZ3034" s="74"/>
      <c r="JA3034" s="74"/>
    </row>
    <row r="3035" spans="1:261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Q3035" s="74"/>
      <c r="R3035" s="74"/>
      <c r="S3035" s="74"/>
      <c r="T3035" s="74"/>
      <c r="U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  <c r="IW3035" s="74"/>
      <c r="IX3035" s="74"/>
      <c r="IY3035" s="74"/>
      <c r="IZ3035" s="74"/>
      <c r="JA3035" s="74"/>
    </row>
    <row r="3036" spans="1:261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Q3036" s="74"/>
      <c r="R3036" s="74"/>
      <c r="S3036" s="74"/>
      <c r="T3036" s="74"/>
      <c r="U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  <c r="IW3036" s="74"/>
      <c r="IX3036" s="74"/>
      <c r="IY3036" s="74"/>
      <c r="IZ3036" s="74"/>
      <c r="JA3036" s="74"/>
    </row>
    <row r="3037" spans="1:261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Q3037" s="74"/>
      <c r="R3037" s="74"/>
      <c r="S3037" s="74"/>
      <c r="T3037" s="74"/>
      <c r="U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  <c r="IW3037" s="74"/>
      <c r="IX3037" s="74"/>
      <c r="IY3037" s="74"/>
      <c r="IZ3037" s="74"/>
      <c r="JA3037" s="74"/>
    </row>
    <row r="3038" spans="1:261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Q3038" s="74"/>
      <c r="R3038" s="74"/>
      <c r="S3038" s="74"/>
      <c r="T3038" s="74"/>
      <c r="U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  <c r="IW3038" s="74"/>
      <c r="IX3038" s="74"/>
      <c r="IY3038" s="74"/>
      <c r="IZ3038" s="74"/>
      <c r="JA3038" s="74"/>
    </row>
    <row r="3039" spans="1:261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Q3039" s="74"/>
      <c r="R3039" s="74"/>
      <c r="S3039" s="74"/>
      <c r="T3039" s="74"/>
      <c r="U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  <c r="IW3039" s="74"/>
      <c r="IX3039" s="74"/>
      <c r="IY3039" s="74"/>
      <c r="IZ3039" s="74"/>
      <c r="JA3039" s="74"/>
    </row>
    <row r="3040" spans="1:261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Q3040" s="74"/>
      <c r="R3040" s="74"/>
      <c r="S3040" s="74"/>
      <c r="T3040" s="74"/>
      <c r="U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  <c r="IW3040" s="74"/>
      <c r="IX3040" s="74"/>
      <c r="IY3040" s="74"/>
      <c r="IZ3040" s="74"/>
      <c r="JA3040" s="74"/>
    </row>
    <row r="3041" spans="1:261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Q3041" s="74"/>
      <c r="R3041" s="74"/>
      <c r="S3041" s="74"/>
      <c r="T3041" s="74"/>
      <c r="U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  <c r="IW3041" s="74"/>
      <c r="IX3041" s="74"/>
      <c r="IY3041" s="74"/>
      <c r="IZ3041" s="74"/>
      <c r="JA3041" s="74"/>
    </row>
    <row r="3042" spans="1:261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Q3042" s="74"/>
      <c r="R3042" s="74"/>
      <c r="S3042" s="74"/>
      <c r="T3042" s="74"/>
      <c r="U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  <c r="IW3042" s="74"/>
      <c r="IX3042" s="74"/>
      <c r="IY3042" s="74"/>
      <c r="IZ3042" s="74"/>
      <c r="JA3042" s="74"/>
    </row>
    <row r="3043" spans="1:261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Q3043" s="74"/>
      <c r="R3043" s="74"/>
      <c r="S3043" s="74"/>
      <c r="T3043" s="74"/>
      <c r="U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  <c r="IW3043" s="74"/>
      <c r="IX3043" s="74"/>
      <c r="IY3043" s="74"/>
      <c r="IZ3043" s="74"/>
      <c r="JA3043" s="74"/>
    </row>
    <row r="3044" spans="1:261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Q3044" s="74"/>
      <c r="R3044" s="74"/>
      <c r="S3044" s="74"/>
      <c r="T3044" s="74"/>
      <c r="U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  <c r="IW3044" s="74"/>
      <c r="IX3044" s="74"/>
      <c r="IY3044" s="74"/>
      <c r="IZ3044" s="74"/>
      <c r="JA3044" s="74"/>
    </row>
    <row r="3045" spans="1:261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Q3045" s="74"/>
      <c r="R3045" s="74"/>
      <c r="S3045" s="74"/>
      <c r="T3045" s="74"/>
      <c r="U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  <c r="IW3045" s="74"/>
      <c r="IX3045" s="74"/>
      <c r="IY3045" s="74"/>
      <c r="IZ3045" s="74"/>
      <c r="JA3045" s="74"/>
    </row>
    <row r="3046" spans="1:261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Q3046" s="74"/>
      <c r="R3046" s="74"/>
      <c r="S3046" s="74"/>
      <c r="T3046" s="74"/>
      <c r="U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  <c r="IW3046" s="74"/>
      <c r="IX3046" s="74"/>
      <c r="IY3046" s="74"/>
      <c r="IZ3046" s="74"/>
      <c r="JA3046" s="74"/>
    </row>
    <row r="3047" spans="1:261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Q3047" s="74"/>
      <c r="R3047" s="74"/>
      <c r="S3047" s="74"/>
      <c r="T3047" s="74"/>
      <c r="U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  <c r="IW3047" s="74"/>
      <c r="IX3047" s="74"/>
      <c r="IY3047" s="74"/>
      <c r="IZ3047" s="74"/>
      <c r="JA3047" s="74"/>
    </row>
    <row r="3048" spans="1:261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Q3048" s="74"/>
      <c r="R3048" s="74"/>
      <c r="S3048" s="74"/>
      <c r="T3048" s="74"/>
      <c r="U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  <c r="IW3048" s="74"/>
      <c r="IX3048" s="74"/>
      <c r="IY3048" s="74"/>
      <c r="IZ3048" s="74"/>
      <c r="JA3048" s="74"/>
    </row>
    <row r="3049" spans="1:261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Q3049" s="74"/>
      <c r="R3049" s="74"/>
      <c r="S3049" s="74"/>
      <c r="T3049" s="74"/>
      <c r="U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  <c r="IW3049" s="74"/>
      <c r="IX3049" s="74"/>
      <c r="IY3049" s="74"/>
      <c r="IZ3049" s="74"/>
      <c r="JA3049" s="74"/>
    </row>
    <row r="3050" spans="1:261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Q3050" s="74"/>
      <c r="R3050" s="74"/>
      <c r="S3050" s="74"/>
      <c r="T3050" s="74"/>
      <c r="U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  <c r="IW3050" s="74"/>
      <c r="IX3050" s="74"/>
      <c r="IY3050" s="74"/>
      <c r="IZ3050" s="74"/>
      <c r="JA3050" s="74"/>
    </row>
    <row r="3051" spans="1:261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Q3051" s="74"/>
      <c r="R3051" s="74"/>
      <c r="S3051" s="74"/>
      <c r="T3051" s="74"/>
      <c r="U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  <c r="IW3051" s="74"/>
      <c r="IX3051" s="74"/>
      <c r="IY3051" s="74"/>
      <c r="IZ3051" s="74"/>
      <c r="JA3051" s="74"/>
    </row>
    <row r="3052" spans="1:261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Q3052" s="74"/>
      <c r="R3052" s="74"/>
      <c r="S3052" s="74"/>
      <c r="T3052" s="74"/>
      <c r="U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  <c r="IW3052" s="74"/>
      <c r="IX3052" s="74"/>
      <c r="IY3052" s="74"/>
      <c r="IZ3052" s="74"/>
      <c r="JA3052" s="74"/>
    </row>
    <row r="3053" spans="1:261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Q3053" s="74"/>
      <c r="R3053" s="74"/>
      <c r="S3053" s="74"/>
      <c r="T3053" s="74"/>
      <c r="U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  <c r="IW3053" s="74"/>
      <c r="IX3053" s="74"/>
      <c r="IY3053" s="74"/>
      <c r="IZ3053" s="74"/>
      <c r="JA3053" s="74"/>
    </row>
    <row r="3054" spans="1:261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Q3054" s="74"/>
      <c r="R3054" s="74"/>
      <c r="S3054" s="74"/>
      <c r="T3054" s="74"/>
      <c r="U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  <c r="IW3054" s="74"/>
      <c r="IX3054" s="74"/>
      <c r="IY3054" s="74"/>
      <c r="IZ3054" s="74"/>
      <c r="JA3054" s="74"/>
    </row>
    <row r="3055" spans="1:261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Q3055" s="74"/>
      <c r="R3055" s="74"/>
      <c r="S3055" s="74"/>
      <c r="T3055" s="74"/>
      <c r="U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  <c r="IW3055" s="74"/>
      <c r="IX3055" s="74"/>
      <c r="IY3055" s="74"/>
      <c r="IZ3055" s="74"/>
      <c r="JA3055" s="74"/>
    </row>
    <row r="3056" spans="1:261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Q3056" s="74"/>
      <c r="R3056" s="74"/>
      <c r="S3056" s="74"/>
      <c r="T3056" s="74"/>
      <c r="U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  <c r="IW3056" s="74"/>
      <c r="IX3056" s="74"/>
      <c r="IY3056" s="74"/>
      <c r="IZ3056" s="74"/>
      <c r="JA3056" s="74"/>
    </row>
    <row r="3057" spans="1:261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Q3057" s="74"/>
      <c r="R3057" s="74"/>
      <c r="S3057" s="74"/>
      <c r="T3057" s="74"/>
      <c r="U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  <c r="IW3057" s="74"/>
      <c r="IX3057" s="74"/>
      <c r="IY3057" s="74"/>
      <c r="IZ3057" s="74"/>
      <c r="JA3057" s="74"/>
    </row>
    <row r="3058" spans="1:261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Q3058" s="74"/>
      <c r="R3058" s="74"/>
      <c r="S3058" s="74"/>
      <c r="T3058" s="74"/>
      <c r="U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  <c r="IW3058" s="74"/>
      <c r="IX3058" s="74"/>
      <c r="IY3058" s="74"/>
      <c r="IZ3058" s="74"/>
      <c r="JA3058" s="74"/>
    </row>
    <row r="3059" spans="1:261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Q3059" s="74"/>
      <c r="R3059" s="74"/>
      <c r="S3059" s="74"/>
      <c r="T3059" s="74"/>
      <c r="U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  <c r="IW3059" s="74"/>
      <c r="IX3059" s="74"/>
      <c r="IY3059" s="74"/>
      <c r="IZ3059" s="74"/>
      <c r="JA3059" s="74"/>
    </row>
    <row r="3060" spans="1:261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Q3060" s="74"/>
      <c r="R3060" s="74"/>
      <c r="S3060" s="74"/>
      <c r="T3060" s="74"/>
      <c r="U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  <c r="IW3060" s="74"/>
      <c r="IX3060" s="74"/>
      <c r="IY3060" s="74"/>
      <c r="IZ3060" s="74"/>
      <c r="JA3060" s="74"/>
    </row>
    <row r="3061" spans="1:261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Q3061" s="74"/>
      <c r="R3061" s="74"/>
      <c r="S3061" s="74"/>
      <c r="T3061" s="74"/>
      <c r="U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  <c r="IW3061" s="74"/>
      <c r="IX3061" s="74"/>
      <c r="IY3061" s="74"/>
      <c r="IZ3061" s="74"/>
      <c r="JA3061" s="74"/>
    </row>
    <row r="3062" spans="1:261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Q3062" s="74"/>
      <c r="R3062" s="74"/>
      <c r="S3062" s="74"/>
      <c r="T3062" s="74"/>
      <c r="U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  <c r="IW3062" s="74"/>
      <c r="IX3062" s="74"/>
      <c r="IY3062" s="74"/>
      <c r="IZ3062" s="74"/>
      <c r="JA3062" s="74"/>
    </row>
    <row r="3063" spans="1:261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Q3063" s="74"/>
      <c r="R3063" s="74"/>
      <c r="S3063" s="74"/>
      <c r="T3063" s="74"/>
      <c r="U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  <c r="IW3063" s="74"/>
      <c r="IX3063" s="74"/>
      <c r="IY3063" s="74"/>
      <c r="IZ3063" s="74"/>
      <c r="JA3063" s="74"/>
    </row>
    <row r="3064" spans="1:261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Q3064" s="74"/>
      <c r="R3064" s="74"/>
      <c r="S3064" s="74"/>
      <c r="T3064" s="74"/>
      <c r="U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  <c r="IW3064" s="74"/>
      <c r="IX3064" s="74"/>
      <c r="IY3064" s="74"/>
      <c r="IZ3064" s="74"/>
      <c r="JA3064" s="74"/>
    </row>
    <row r="3065" spans="1:261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Q3065" s="74"/>
      <c r="R3065" s="74"/>
      <c r="S3065" s="74"/>
      <c r="T3065" s="74"/>
      <c r="U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  <c r="IW3065" s="74"/>
      <c r="IX3065" s="74"/>
      <c r="IY3065" s="74"/>
      <c r="IZ3065" s="74"/>
      <c r="JA3065" s="74"/>
    </row>
    <row r="3066" spans="1:261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Q3066" s="74"/>
      <c r="R3066" s="74"/>
      <c r="S3066" s="74"/>
      <c r="T3066" s="74"/>
      <c r="U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  <c r="IW3066" s="74"/>
      <c r="IX3066" s="74"/>
      <c r="IY3066" s="74"/>
      <c r="IZ3066" s="74"/>
      <c r="JA3066" s="74"/>
    </row>
    <row r="3067" spans="1:261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Q3067" s="74"/>
      <c r="R3067" s="74"/>
      <c r="S3067" s="74"/>
      <c r="T3067" s="74"/>
      <c r="U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  <c r="IW3067" s="74"/>
      <c r="IX3067" s="74"/>
      <c r="IY3067" s="74"/>
      <c r="IZ3067" s="74"/>
      <c r="JA3067" s="74"/>
    </row>
    <row r="3068" spans="1:261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Q3068" s="74"/>
      <c r="R3068" s="74"/>
      <c r="S3068" s="74"/>
      <c r="T3068" s="74"/>
      <c r="U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  <c r="IW3068" s="74"/>
      <c r="IX3068" s="74"/>
      <c r="IY3068" s="74"/>
      <c r="IZ3068" s="74"/>
      <c r="JA3068" s="74"/>
    </row>
    <row r="3069" spans="1:261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Q3069" s="74"/>
      <c r="R3069" s="74"/>
      <c r="S3069" s="74"/>
      <c r="T3069" s="74"/>
      <c r="U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  <c r="IW3069" s="74"/>
      <c r="IX3069" s="74"/>
      <c r="IY3069" s="74"/>
      <c r="IZ3069" s="74"/>
      <c r="JA3069" s="74"/>
    </row>
    <row r="3070" spans="1:261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Q3070" s="74"/>
      <c r="R3070" s="74"/>
      <c r="S3070" s="74"/>
      <c r="T3070" s="74"/>
      <c r="U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  <c r="IW3070" s="74"/>
      <c r="IX3070" s="74"/>
      <c r="IY3070" s="74"/>
      <c r="IZ3070" s="74"/>
      <c r="JA3070" s="74"/>
    </row>
    <row r="3071" spans="1:261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Q3071" s="74"/>
      <c r="R3071" s="74"/>
      <c r="S3071" s="74"/>
      <c r="T3071" s="74"/>
      <c r="U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  <c r="IW3071" s="74"/>
      <c r="IX3071" s="74"/>
      <c r="IY3071" s="74"/>
      <c r="IZ3071" s="74"/>
      <c r="JA3071" s="74"/>
    </row>
    <row r="3072" spans="1:261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Q3072" s="74"/>
      <c r="R3072" s="74"/>
      <c r="S3072" s="74"/>
      <c r="T3072" s="74"/>
      <c r="U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  <c r="IW3072" s="74"/>
      <c r="IX3072" s="74"/>
      <c r="IY3072" s="74"/>
      <c r="IZ3072" s="74"/>
      <c r="JA3072" s="74"/>
    </row>
    <row r="3073" spans="1:261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Q3073" s="74"/>
      <c r="R3073" s="74"/>
      <c r="S3073" s="74"/>
      <c r="T3073" s="74"/>
      <c r="U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  <c r="IW3073" s="74"/>
      <c r="IX3073" s="74"/>
      <c r="IY3073" s="74"/>
      <c r="IZ3073" s="74"/>
      <c r="JA3073" s="74"/>
    </row>
    <row r="3074" spans="1:261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Q3074" s="74"/>
      <c r="R3074" s="74"/>
      <c r="S3074" s="74"/>
      <c r="T3074" s="74"/>
      <c r="U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  <c r="IW3074" s="74"/>
      <c r="IX3074" s="74"/>
      <c r="IY3074" s="74"/>
      <c r="IZ3074" s="74"/>
      <c r="JA3074" s="74"/>
    </row>
    <row r="3075" spans="1:261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Q3075" s="74"/>
      <c r="R3075" s="74"/>
      <c r="S3075" s="74"/>
      <c r="T3075" s="74"/>
      <c r="U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  <c r="IW3075" s="74"/>
      <c r="IX3075" s="74"/>
      <c r="IY3075" s="74"/>
      <c r="IZ3075" s="74"/>
      <c r="JA3075" s="74"/>
    </row>
    <row r="3076" spans="1:261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Q3076" s="74"/>
      <c r="R3076" s="74"/>
      <c r="S3076" s="74"/>
      <c r="T3076" s="74"/>
      <c r="U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  <c r="IW3076" s="74"/>
      <c r="IX3076" s="74"/>
      <c r="IY3076" s="74"/>
      <c r="IZ3076" s="74"/>
      <c r="JA3076" s="74"/>
    </row>
    <row r="3077" spans="1:261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Q3077" s="74"/>
      <c r="R3077" s="74"/>
      <c r="S3077" s="74"/>
      <c r="T3077" s="74"/>
      <c r="U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  <c r="IW3077" s="74"/>
      <c r="IX3077" s="74"/>
      <c r="IY3077" s="74"/>
      <c r="IZ3077" s="74"/>
      <c r="JA3077" s="74"/>
    </row>
    <row r="3078" spans="1:261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Q3078" s="74"/>
      <c r="R3078" s="74"/>
      <c r="S3078" s="74"/>
      <c r="T3078" s="74"/>
      <c r="U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  <c r="IW3078" s="74"/>
      <c r="IX3078" s="74"/>
      <c r="IY3078" s="74"/>
      <c r="IZ3078" s="74"/>
      <c r="JA3078" s="74"/>
    </row>
    <row r="3079" spans="1:261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Q3079" s="74"/>
      <c r="R3079" s="74"/>
      <c r="S3079" s="74"/>
      <c r="T3079" s="74"/>
      <c r="U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  <c r="IW3079" s="74"/>
      <c r="IX3079" s="74"/>
      <c r="IY3079" s="74"/>
      <c r="IZ3079" s="74"/>
      <c r="JA3079" s="74"/>
    </row>
    <row r="3080" spans="1:261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Q3080" s="74"/>
      <c r="R3080" s="74"/>
      <c r="S3080" s="74"/>
      <c r="T3080" s="74"/>
      <c r="U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  <c r="IW3080" s="74"/>
      <c r="IX3080" s="74"/>
      <c r="IY3080" s="74"/>
      <c r="IZ3080" s="74"/>
      <c r="JA3080" s="74"/>
    </row>
    <row r="3081" spans="1:261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Q3081" s="74"/>
      <c r="R3081" s="74"/>
      <c r="S3081" s="74"/>
      <c r="T3081" s="74"/>
      <c r="U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  <c r="IW3081" s="74"/>
      <c r="IX3081" s="74"/>
      <c r="IY3081" s="74"/>
      <c r="IZ3081" s="74"/>
      <c r="JA3081" s="74"/>
    </row>
    <row r="3082" spans="1:261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Q3082" s="74"/>
      <c r="R3082" s="74"/>
      <c r="S3082" s="74"/>
      <c r="T3082" s="74"/>
      <c r="U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  <c r="IW3082" s="74"/>
      <c r="IX3082" s="74"/>
      <c r="IY3082" s="74"/>
      <c r="IZ3082" s="74"/>
      <c r="JA3082" s="74"/>
    </row>
    <row r="3083" spans="1:261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Q3083" s="74"/>
      <c r="R3083" s="74"/>
      <c r="S3083" s="74"/>
      <c r="T3083" s="74"/>
      <c r="U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  <c r="IW3083" s="74"/>
      <c r="IX3083" s="74"/>
      <c r="IY3083" s="74"/>
      <c r="IZ3083" s="74"/>
      <c r="JA3083" s="74"/>
    </row>
    <row r="3084" spans="1:261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Q3084" s="74"/>
      <c r="R3084" s="74"/>
      <c r="S3084" s="74"/>
      <c r="T3084" s="74"/>
      <c r="U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  <c r="IW3084" s="74"/>
      <c r="IX3084" s="74"/>
      <c r="IY3084" s="74"/>
      <c r="IZ3084" s="74"/>
      <c r="JA3084" s="74"/>
    </row>
    <row r="3085" spans="1:261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Q3085" s="74"/>
      <c r="R3085" s="74"/>
      <c r="S3085" s="74"/>
      <c r="T3085" s="74"/>
      <c r="U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  <c r="IW3085" s="74"/>
      <c r="IX3085" s="74"/>
      <c r="IY3085" s="74"/>
      <c r="IZ3085" s="74"/>
      <c r="JA3085" s="74"/>
    </row>
    <row r="3086" spans="1:261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Q3086" s="74"/>
      <c r="R3086" s="74"/>
      <c r="S3086" s="74"/>
      <c r="T3086" s="74"/>
      <c r="U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  <c r="IW3086" s="74"/>
      <c r="IX3086" s="74"/>
      <c r="IY3086" s="74"/>
      <c r="IZ3086" s="74"/>
      <c r="JA3086" s="74"/>
    </row>
    <row r="3087" spans="1:261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Q3087" s="74"/>
      <c r="R3087" s="74"/>
      <c r="S3087" s="74"/>
      <c r="T3087" s="74"/>
      <c r="U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  <c r="IW3087" s="74"/>
      <c r="IX3087" s="74"/>
      <c r="IY3087" s="74"/>
      <c r="IZ3087" s="74"/>
      <c r="JA3087" s="74"/>
    </row>
    <row r="3088" spans="1:261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Q3088" s="74"/>
      <c r="R3088" s="74"/>
      <c r="S3088" s="74"/>
      <c r="T3088" s="74"/>
      <c r="U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  <c r="IW3088" s="74"/>
      <c r="IX3088" s="74"/>
      <c r="IY3088" s="74"/>
      <c r="IZ3088" s="74"/>
      <c r="JA3088" s="74"/>
    </row>
    <row r="3089" spans="1:261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Q3089" s="74"/>
      <c r="R3089" s="74"/>
      <c r="S3089" s="74"/>
      <c r="T3089" s="74"/>
      <c r="U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  <c r="IW3089" s="74"/>
      <c r="IX3089" s="74"/>
      <c r="IY3089" s="74"/>
      <c r="IZ3089" s="74"/>
      <c r="JA3089" s="74"/>
    </row>
    <row r="3090" spans="1:261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Q3090" s="74"/>
      <c r="R3090" s="74"/>
      <c r="S3090" s="74"/>
      <c r="T3090" s="74"/>
      <c r="U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  <c r="IW3090" s="74"/>
      <c r="IX3090" s="74"/>
      <c r="IY3090" s="74"/>
      <c r="IZ3090" s="74"/>
      <c r="JA3090" s="74"/>
    </row>
    <row r="3091" spans="1:261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Q3091" s="74"/>
      <c r="R3091" s="74"/>
      <c r="S3091" s="74"/>
      <c r="T3091" s="74"/>
      <c r="U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  <c r="IW3091" s="74"/>
      <c r="IX3091" s="74"/>
      <c r="IY3091" s="74"/>
      <c r="IZ3091" s="74"/>
      <c r="JA3091" s="74"/>
    </row>
    <row r="3092" spans="1:261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Q3092" s="74"/>
      <c r="R3092" s="74"/>
      <c r="S3092" s="74"/>
      <c r="T3092" s="74"/>
      <c r="U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  <c r="IW3092" s="74"/>
      <c r="IX3092" s="74"/>
      <c r="IY3092" s="74"/>
      <c r="IZ3092" s="74"/>
      <c r="JA3092" s="74"/>
    </row>
    <row r="3093" spans="1:261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Q3093" s="74"/>
      <c r="R3093" s="74"/>
      <c r="S3093" s="74"/>
      <c r="T3093" s="74"/>
      <c r="U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  <c r="IW3093" s="74"/>
      <c r="IX3093" s="74"/>
      <c r="IY3093" s="74"/>
      <c r="IZ3093" s="74"/>
      <c r="JA3093" s="74"/>
    </row>
    <row r="3094" spans="1:261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Q3094" s="74"/>
      <c r="R3094" s="74"/>
      <c r="S3094" s="74"/>
      <c r="T3094" s="74"/>
      <c r="U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  <c r="IW3094" s="74"/>
      <c r="IX3094" s="74"/>
      <c r="IY3094" s="74"/>
      <c r="IZ3094" s="74"/>
      <c r="JA3094" s="74"/>
    </row>
    <row r="3095" spans="1:261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Q3095" s="74"/>
      <c r="R3095" s="74"/>
      <c r="S3095" s="74"/>
      <c r="T3095" s="74"/>
      <c r="U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  <c r="IW3095" s="74"/>
      <c r="IX3095" s="74"/>
      <c r="IY3095" s="74"/>
      <c r="IZ3095" s="74"/>
      <c r="JA3095" s="74"/>
    </row>
    <row r="3096" spans="1:261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Q3096" s="74"/>
      <c r="R3096" s="74"/>
      <c r="S3096" s="74"/>
      <c r="T3096" s="74"/>
      <c r="U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  <c r="IW3096" s="74"/>
      <c r="IX3096" s="74"/>
      <c r="IY3096" s="74"/>
      <c r="IZ3096" s="74"/>
      <c r="JA3096" s="74"/>
    </row>
    <row r="3097" spans="1:261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Q3097" s="74"/>
      <c r="R3097" s="74"/>
      <c r="S3097" s="74"/>
      <c r="T3097" s="74"/>
      <c r="U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  <c r="IW3097" s="74"/>
      <c r="IX3097" s="74"/>
      <c r="IY3097" s="74"/>
      <c r="IZ3097" s="74"/>
      <c r="JA3097" s="74"/>
    </row>
    <row r="3098" spans="1:261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Q3098" s="74"/>
      <c r="R3098" s="74"/>
      <c r="S3098" s="74"/>
      <c r="T3098" s="74"/>
      <c r="U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  <c r="IW3098" s="74"/>
      <c r="IX3098" s="74"/>
      <c r="IY3098" s="74"/>
      <c r="IZ3098" s="74"/>
      <c r="JA3098" s="74"/>
    </row>
    <row r="3099" spans="1:261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Q3099" s="74"/>
      <c r="R3099" s="74"/>
      <c r="S3099" s="74"/>
      <c r="T3099" s="74"/>
      <c r="U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  <c r="IW3099" s="74"/>
      <c r="IX3099" s="74"/>
      <c r="IY3099" s="74"/>
      <c r="IZ3099" s="74"/>
      <c r="JA3099" s="74"/>
    </row>
    <row r="3100" spans="1:261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Q3100" s="74"/>
      <c r="R3100" s="74"/>
      <c r="S3100" s="74"/>
      <c r="T3100" s="74"/>
      <c r="U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  <c r="IW3100" s="74"/>
      <c r="IX3100" s="74"/>
      <c r="IY3100" s="74"/>
      <c r="IZ3100" s="74"/>
      <c r="JA3100" s="74"/>
    </row>
    <row r="3101" spans="1:261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Q3101" s="74"/>
      <c r="R3101" s="74"/>
      <c r="S3101" s="74"/>
      <c r="T3101" s="74"/>
      <c r="U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  <c r="IW3101" s="74"/>
      <c r="IX3101" s="74"/>
      <c r="IY3101" s="74"/>
      <c r="IZ3101" s="74"/>
      <c r="JA3101" s="74"/>
    </row>
    <row r="3102" spans="1:261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Q3102" s="74"/>
      <c r="R3102" s="74"/>
      <c r="S3102" s="74"/>
      <c r="T3102" s="74"/>
      <c r="U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  <c r="IW3102" s="74"/>
      <c r="IX3102" s="74"/>
      <c r="IY3102" s="74"/>
      <c r="IZ3102" s="74"/>
      <c r="JA3102" s="74"/>
    </row>
    <row r="3103" spans="1:261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Q3103" s="74"/>
      <c r="R3103" s="74"/>
      <c r="S3103" s="74"/>
      <c r="T3103" s="74"/>
      <c r="U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  <c r="IW3103" s="74"/>
      <c r="IX3103" s="74"/>
      <c r="IY3103" s="74"/>
      <c r="IZ3103" s="74"/>
      <c r="JA3103" s="74"/>
    </row>
    <row r="3104" spans="1:261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Q3104" s="74"/>
      <c r="R3104" s="74"/>
      <c r="S3104" s="74"/>
      <c r="T3104" s="74"/>
      <c r="U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  <c r="IW3104" s="74"/>
      <c r="IX3104" s="74"/>
      <c r="IY3104" s="74"/>
      <c r="IZ3104" s="74"/>
      <c r="JA3104" s="74"/>
    </row>
    <row r="3105" spans="1:261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Q3105" s="74"/>
      <c r="R3105" s="74"/>
      <c r="S3105" s="74"/>
      <c r="T3105" s="74"/>
      <c r="U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  <c r="IW3105" s="74"/>
      <c r="IX3105" s="74"/>
      <c r="IY3105" s="74"/>
      <c r="IZ3105" s="74"/>
      <c r="JA3105" s="74"/>
    </row>
    <row r="3106" spans="1:261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Q3106" s="74"/>
      <c r="R3106" s="74"/>
      <c r="S3106" s="74"/>
      <c r="T3106" s="74"/>
      <c r="U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  <c r="IW3106" s="74"/>
      <c r="IX3106" s="74"/>
      <c r="IY3106" s="74"/>
      <c r="IZ3106" s="74"/>
      <c r="JA3106" s="74"/>
    </row>
    <row r="3107" spans="1:261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Q3107" s="74"/>
      <c r="R3107" s="74"/>
      <c r="S3107" s="74"/>
      <c r="T3107" s="74"/>
      <c r="U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  <c r="IW3107" s="74"/>
      <c r="IX3107" s="74"/>
      <c r="IY3107" s="74"/>
      <c r="IZ3107" s="74"/>
      <c r="JA3107" s="74"/>
    </row>
    <row r="3108" spans="1:261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Q3108" s="74"/>
      <c r="R3108" s="74"/>
      <c r="S3108" s="74"/>
      <c r="T3108" s="74"/>
      <c r="U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  <c r="IW3108" s="74"/>
      <c r="IX3108" s="74"/>
      <c r="IY3108" s="74"/>
      <c r="IZ3108" s="74"/>
      <c r="JA3108" s="74"/>
    </row>
    <row r="3109" spans="1:261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Q3109" s="74"/>
      <c r="R3109" s="74"/>
      <c r="S3109" s="74"/>
      <c r="T3109" s="74"/>
      <c r="U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  <c r="IW3109" s="74"/>
      <c r="IX3109" s="74"/>
      <c r="IY3109" s="74"/>
      <c r="IZ3109" s="74"/>
      <c r="JA3109" s="74"/>
    </row>
    <row r="3110" spans="1:261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Q3110" s="74"/>
      <c r="R3110" s="74"/>
      <c r="S3110" s="74"/>
      <c r="T3110" s="74"/>
      <c r="U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  <c r="IW3110" s="74"/>
      <c r="IX3110" s="74"/>
      <c r="IY3110" s="74"/>
      <c r="IZ3110" s="74"/>
      <c r="JA3110" s="74"/>
    </row>
    <row r="3111" spans="1:261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Q3111" s="74"/>
      <c r="R3111" s="74"/>
      <c r="S3111" s="74"/>
      <c r="T3111" s="74"/>
      <c r="U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  <c r="IW3111" s="74"/>
      <c r="IX3111" s="74"/>
      <c r="IY3111" s="74"/>
      <c r="IZ3111" s="74"/>
      <c r="JA3111" s="74"/>
    </row>
    <row r="3112" spans="1:261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Q3112" s="74"/>
      <c r="R3112" s="74"/>
      <c r="S3112" s="74"/>
      <c r="T3112" s="74"/>
      <c r="U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  <c r="IW3112" s="74"/>
      <c r="IX3112" s="74"/>
      <c r="IY3112" s="74"/>
      <c r="IZ3112" s="74"/>
      <c r="JA3112" s="74"/>
    </row>
    <row r="3113" spans="1:261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Q3113" s="74"/>
      <c r="R3113" s="74"/>
      <c r="S3113" s="74"/>
      <c r="T3113" s="74"/>
      <c r="U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  <c r="IW3113" s="74"/>
      <c r="IX3113" s="74"/>
      <c r="IY3113" s="74"/>
      <c r="IZ3113" s="74"/>
      <c r="JA3113" s="74"/>
    </row>
    <row r="3114" spans="1:261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Q3114" s="74"/>
      <c r="R3114" s="74"/>
      <c r="S3114" s="74"/>
      <c r="T3114" s="74"/>
      <c r="U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  <c r="IW3114" s="74"/>
      <c r="IX3114" s="74"/>
      <c r="IY3114" s="74"/>
      <c r="IZ3114" s="74"/>
      <c r="JA3114" s="74"/>
    </row>
    <row r="3115" spans="1:261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Q3115" s="74"/>
      <c r="R3115" s="74"/>
      <c r="S3115" s="74"/>
      <c r="T3115" s="74"/>
      <c r="U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  <c r="IW3115" s="74"/>
      <c r="IX3115" s="74"/>
      <c r="IY3115" s="74"/>
      <c r="IZ3115" s="74"/>
      <c r="JA3115" s="74"/>
    </row>
    <row r="3116" spans="1:261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Q3116" s="74"/>
      <c r="R3116" s="74"/>
      <c r="S3116" s="74"/>
      <c r="T3116" s="74"/>
      <c r="U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  <c r="IW3116" s="74"/>
      <c r="IX3116" s="74"/>
      <c r="IY3116" s="74"/>
      <c r="IZ3116" s="74"/>
      <c r="JA3116" s="74"/>
    </row>
    <row r="3117" spans="1:261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Q3117" s="74"/>
      <c r="R3117" s="74"/>
      <c r="S3117" s="74"/>
      <c r="T3117" s="74"/>
      <c r="U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  <c r="IW3117" s="74"/>
      <c r="IX3117" s="74"/>
      <c r="IY3117" s="74"/>
      <c r="IZ3117" s="74"/>
      <c r="JA3117" s="74"/>
    </row>
    <row r="3118" spans="1:261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Q3118" s="74"/>
      <c r="R3118" s="74"/>
      <c r="S3118" s="74"/>
      <c r="T3118" s="74"/>
      <c r="U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  <c r="IW3118" s="74"/>
      <c r="IX3118" s="74"/>
      <c r="IY3118" s="74"/>
      <c r="IZ3118" s="74"/>
      <c r="JA3118" s="74"/>
    </row>
    <row r="3119" spans="1:261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Q3119" s="74"/>
      <c r="R3119" s="74"/>
      <c r="S3119" s="74"/>
      <c r="T3119" s="74"/>
      <c r="U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  <c r="IW3119" s="74"/>
      <c r="IX3119" s="74"/>
      <c r="IY3119" s="74"/>
      <c r="IZ3119" s="74"/>
      <c r="JA3119" s="74"/>
    </row>
    <row r="3120" spans="1:261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Q3120" s="74"/>
      <c r="R3120" s="74"/>
      <c r="S3120" s="74"/>
      <c r="T3120" s="74"/>
      <c r="U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  <c r="IW3120" s="74"/>
      <c r="IX3120" s="74"/>
      <c r="IY3120" s="74"/>
      <c r="IZ3120" s="74"/>
      <c r="JA3120" s="74"/>
    </row>
    <row r="3121" spans="1:261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Q3121" s="74"/>
      <c r="R3121" s="74"/>
      <c r="S3121" s="74"/>
      <c r="T3121" s="74"/>
      <c r="U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  <c r="IW3121" s="74"/>
      <c r="IX3121" s="74"/>
      <c r="IY3121" s="74"/>
      <c r="IZ3121" s="74"/>
      <c r="JA3121" s="74"/>
    </row>
    <row r="3122" spans="1:261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Q3122" s="74"/>
      <c r="R3122" s="74"/>
      <c r="S3122" s="74"/>
      <c r="T3122" s="74"/>
      <c r="U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  <c r="IW3122" s="74"/>
      <c r="IX3122" s="74"/>
      <c r="IY3122" s="74"/>
      <c r="IZ3122" s="74"/>
      <c r="JA3122" s="74"/>
    </row>
    <row r="3123" spans="1:261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Q3123" s="74"/>
      <c r="R3123" s="74"/>
      <c r="S3123" s="74"/>
      <c r="T3123" s="74"/>
      <c r="U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  <c r="IW3123" s="74"/>
      <c r="IX3123" s="74"/>
      <c r="IY3123" s="74"/>
      <c r="IZ3123" s="74"/>
      <c r="JA3123" s="74"/>
    </row>
    <row r="3124" spans="1:261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Q3124" s="74"/>
      <c r="R3124" s="74"/>
      <c r="S3124" s="74"/>
      <c r="T3124" s="74"/>
      <c r="U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  <c r="IW3124" s="74"/>
      <c r="IX3124" s="74"/>
      <c r="IY3124" s="74"/>
      <c r="IZ3124" s="74"/>
      <c r="JA3124" s="74"/>
    </row>
    <row r="3125" spans="1:261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Q3125" s="74"/>
      <c r="R3125" s="74"/>
      <c r="S3125" s="74"/>
      <c r="T3125" s="74"/>
      <c r="U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  <c r="IW3125" s="74"/>
      <c r="IX3125" s="74"/>
      <c r="IY3125" s="74"/>
      <c r="IZ3125" s="74"/>
      <c r="JA3125" s="74"/>
    </row>
    <row r="3126" spans="1:261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Q3126" s="74"/>
      <c r="R3126" s="74"/>
      <c r="S3126" s="74"/>
      <c r="T3126" s="74"/>
      <c r="U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  <c r="IW3126" s="74"/>
      <c r="IX3126" s="74"/>
      <c r="IY3126" s="74"/>
      <c r="IZ3126" s="74"/>
      <c r="JA3126" s="74"/>
    </row>
    <row r="3127" spans="1:261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Q3127" s="74"/>
      <c r="R3127" s="74"/>
      <c r="S3127" s="74"/>
      <c r="T3127" s="74"/>
      <c r="U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  <c r="IW3127" s="74"/>
      <c r="IX3127" s="74"/>
      <c r="IY3127" s="74"/>
      <c r="IZ3127" s="74"/>
      <c r="JA3127" s="74"/>
    </row>
    <row r="3128" spans="1:261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Q3128" s="74"/>
      <c r="R3128" s="74"/>
      <c r="S3128" s="74"/>
      <c r="T3128" s="74"/>
      <c r="U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  <c r="IW3128" s="74"/>
      <c r="IX3128" s="74"/>
      <c r="IY3128" s="74"/>
      <c r="IZ3128" s="74"/>
      <c r="JA3128" s="74"/>
    </row>
    <row r="3129" spans="1:261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Q3129" s="74"/>
      <c r="R3129" s="74"/>
      <c r="S3129" s="74"/>
      <c r="T3129" s="74"/>
      <c r="U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  <c r="IW3129" s="74"/>
      <c r="IX3129" s="74"/>
      <c r="IY3129" s="74"/>
      <c r="IZ3129" s="74"/>
      <c r="JA3129" s="74"/>
    </row>
    <row r="3130" spans="1:261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Q3130" s="74"/>
      <c r="R3130" s="74"/>
      <c r="S3130" s="74"/>
      <c r="T3130" s="74"/>
      <c r="U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  <c r="IW3130" s="74"/>
      <c r="IX3130" s="74"/>
      <c r="IY3130" s="74"/>
      <c r="IZ3130" s="74"/>
      <c r="JA3130" s="74"/>
    </row>
    <row r="3131" spans="1:261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Q3131" s="74"/>
      <c r="R3131" s="74"/>
      <c r="S3131" s="74"/>
      <c r="T3131" s="74"/>
      <c r="U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  <c r="IW3131" s="74"/>
      <c r="IX3131" s="74"/>
      <c r="IY3131" s="74"/>
      <c r="IZ3131" s="74"/>
      <c r="JA3131" s="74"/>
    </row>
    <row r="3132" spans="1:261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Q3132" s="74"/>
      <c r="R3132" s="74"/>
      <c r="S3132" s="74"/>
      <c r="T3132" s="74"/>
      <c r="U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  <c r="IW3132" s="74"/>
      <c r="IX3132" s="74"/>
      <c r="IY3132" s="74"/>
      <c r="IZ3132" s="74"/>
      <c r="JA3132" s="74"/>
    </row>
    <row r="3133" spans="1:261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Q3133" s="74"/>
      <c r="R3133" s="74"/>
      <c r="S3133" s="74"/>
      <c r="T3133" s="74"/>
      <c r="U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  <c r="IW3133" s="74"/>
      <c r="IX3133" s="74"/>
      <c r="IY3133" s="74"/>
      <c r="IZ3133" s="74"/>
      <c r="JA3133" s="74"/>
    </row>
    <row r="3134" spans="1:261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Q3134" s="74"/>
      <c r="R3134" s="74"/>
      <c r="S3134" s="74"/>
      <c r="T3134" s="74"/>
      <c r="U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  <c r="IW3134" s="74"/>
      <c r="IX3134" s="74"/>
      <c r="IY3134" s="74"/>
      <c r="IZ3134" s="74"/>
      <c r="JA3134" s="74"/>
    </row>
    <row r="3135" spans="1:261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Q3135" s="74"/>
      <c r="R3135" s="74"/>
      <c r="S3135" s="74"/>
      <c r="T3135" s="74"/>
      <c r="U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  <c r="IW3135" s="74"/>
      <c r="IX3135" s="74"/>
      <c r="IY3135" s="74"/>
      <c r="IZ3135" s="74"/>
      <c r="JA3135" s="74"/>
    </row>
    <row r="3136" spans="1:261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Q3136" s="74"/>
      <c r="R3136" s="74"/>
      <c r="S3136" s="74"/>
      <c r="T3136" s="74"/>
      <c r="U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  <c r="IW3136" s="74"/>
      <c r="IX3136" s="74"/>
      <c r="IY3136" s="74"/>
      <c r="IZ3136" s="74"/>
      <c r="JA3136" s="74"/>
    </row>
    <row r="3137" spans="1:261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Q3137" s="74"/>
      <c r="R3137" s="74"/>
      <c r="S3137" s="74"/>
      <c r="T3137" s="74"/>
      <c r="U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  <c r="IW3137" s="74"/>
      <c r="IX3137" s="74"/>
      <c r="IY3137" s="74"/>
      <c r="IZ3137" s="74"/>
      <c r="JA3137" s="74"/>
    </row>
    <row r="3138" spans="1:261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Q3138" s="74"/>
      <c r="R3138" s="74"/>
      <c r="S3138" s="74"/>
      <c r="T3138" s="74"/>
      <c r="U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  <c r="IW3138" s="74"/>
      <c r="IX3138" s="74"/>
      <c r="IY3138" s="74"/>
      <c r="IZ3138" s="74"/>
      <c r="JA3138" s="74"/>
    </row>
    <row r="3139" spans="1:261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Q3139" s="74"/>
      <c r="R3139" s="74"/>
      <c r="S3139" s="74"/>
      <c r="T3139" s="74"/>
      <c r="U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  <c r="IW3139" s="74"/>
      <c r="IX3139" s="74"/>
      <c r="IY3139" s="74"/>
      <c r="IZ3139" s="74"/>
      <c r="JA3139" s="74"/>
    </row>
    <row r="3140" spans="1:261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Q3140" s="74"/>
      <c r="R3140" s="74"/>
      <c r="S3140" s="74"/>
      <c r="T3140" s="74"/>
      <c r="U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  <c r="IW3140" s="74"/>
      <c r="IX3140" s="74"/>
      <c r="IY3140" s="74"/>
      <c r="IZ3140" s="74"/>
      <c r="JA3140" s="74"/>
    </row>
    <row r="3141" spans="1:261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Q3141" s="74"/>
      <c r="R3141" s="74"/>
      <c r="S3141" s="74"/>
      <c r="T3141" s="74"/>
      <c r="U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  <c r="IW3141" s="74"/>
      <c r="IX3141" s="74"/>
      <c r="IY3141" s="74"/>
      <c r="IZ3141" s="74"/>
      <c r="JA3141" s="74"/>
    </row>
    <row r="3142" spans="1:261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Q3142" s="74"/>
      <c r="R3142" s="74"/>
      <c r="S3142" s="74"/>
      <c r="T3142" s="74"/>
      <c r="U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  <c r="IW3142" s="74"/>
      <c r="IX3142" s="74"/>
      <c r="IY3142" s="74"/>
      <c r="IZ3142" s="74"/>
      <c r="JA3142" s="74"/>
    </row>
    <row r="3143" spans="1:261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Q3143" s="74"/>
      <c r="R3143" s="74"/>
      <c r="S3143" s="74"/>
      <c r="T3143" s="74"/>
      <c r="U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  <c r="IW3143" s="74"/>
      <c r="IX3143" s="74"/>
      <c r="IY3143" s="74"/>
      <c r="IZ3143" s="74"/>
      <c r="JA3143" s="74"/>
    </row>
    <row r="3144" spans="1:261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Q3144" s="74"/>
      <c r="R3144" s="74"/>
      <c r="S3144" s="74"/>
      <c r="T3144" s="74"/>
      <c r="U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  <c r="IW3144" s="74"/>
      <c r="IX3144" s="74"/>
      <c r="IY3144" s="74"/>
      <c r="IZ3144" s="74"/>
      <c r="JA3144" s="74"/>
    </row>
    <row r="3145" spans="1:261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Q3145" s="74"/>
      <c r="R3145" s="74"/>
      <c r="S3145" s="74"/>
      <c r="T3145" s="74"/>
      <c r="U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  <c r="IW3145" s="74"/>
      <c r="IX3145" s="74"/>
      <c r="IY3145" s="74"/>
      <c r="IZ3145" s="74"/>
      <c r="JA3145" s="74"/>
    </row>
    <row r="3146" spans="1:261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Q3146" s="74"/>
      <c r="R3146" s="74"/>
      <c r="S3146" s="74"/>
      <c r="T3146" s="74"/>
      <c r="U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  <c r="IW3146" s="74"/>
      <c r="IX3146" s="74"/>
      <c r="IY3146" s="74"/>
      <c r="IZ3146" s="74"/>
      <c r="JA3146" s="74"/>
    </row>
    <row r="3147" spans="1:261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Q3147" s="74"/>
      <c r="R3147" s="74"/>
      <c r="S3147" s="74"/>
      <c r="T3147" s="74"/>
      <c r="U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  <c r="IW3147" s="74"/>
      <c r="IX3147" s="74"/>
      <c r="IY3147" s="74"/>
      <c r="IZ3147" s="74"/>
      <c r="JA3147" s="74"/>
    </row>
    <row r="3148" spans="1:261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Q3148" s="74"/>
      <c r="R3148" s="74"/>
      <c r="S3148" s="74"/>
      <c r="T3148" s="74"/>
      <c r="U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  <c r="IW3148" s="74"/>
      <c r="IX3148" s="74"/>
      <c r="IY3148" s="74"/>
      <c r="IZ3148" s="74"/>
      <c r="JA3148" s="74"/>
    </row>
    <row r="3149" spans="1:261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Q3149" s="74"/>
      <c r="R3149" s="74"/>
      <c r="S3149" s="74"/>
      <c r="T3149" s="74"/>
      <c r="U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  <c r="IW3149" s="74"/>
      <c r="IX3149" s="74"/>
      <c r="IY3149" s="74"/>
      <c r="IZ3149" s="74"/>
      <c r="JA3149" s="74"/>
    </row>
    <row r="3150" spans="1:261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Q3150" s="74"/>
      <c r="R3150" s="74"/>
      <c r="S3150" s="74"/>
      <c r="T3150" s="74"/>
      <c r="U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  <c r="IW3150" s="74"/>
      <c r="IX3150" s="74"/>
      <c r="IY3150" s="74"/>
      <c r="IZ3150" s="74"/>
      <c r="JA3150" s="74"/>
    </row>
    <row r="3151" spans="1:261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Q3151" s="74"/>
      <c r="R3151" s="74"/>
      <c r="S3151" s="74"/>
      <c r="T3151" s="74"/>
      <c r="U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  <c r="IW3151" s="74"/>
      <c r="IX3151" s="74"/>
      <c r="IY3151" s="74"/>
      <c r="IZ3151" s="74"/>
      <c r="JA3151" s="74"/>
    </row>
    <row r="3152" spans="1:261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Q3152" s="74"/>
      <c r="R3152" s="74"/>
      <c r="S3152" s="74"/>
      <c r="T3152" s="74"/>
      <c r="U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  <c r="IW3152" s="74"/>
      <c r="IX3152" s="74"/>
      <c r="IY3152" s="74"/>
      <c r="IZ3152" s="74"/>
      <c r="JA3152" s="74"/>
    </row>
    <row r="3153" spans="1:261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Q3153" s="74"/>
      <c r="R3153" s="74"/>
      <c r="S3153" s="74"/>
      <c r="T3153" s="74"/>
      <c r="U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  <c r="IW3153" s="74"/>
      <c r="IX3153" s="74"/>
      <c r="IY3153" s="74"/>
      <c r="IZ3153" s="74"/>
      <c r="JA3153" s="74"/>
    </row>
    <row r="3154" spans="1:261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Q3154" s="74"/>
      <c r="R3154" s="74"/>
      <c r="S3154" s="74"/>
      <c r="T3154" s="74"/>
      <c r="U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  <c r="IW3154" s="74"/>
      <c r="IX3154" s="74"/>
      <c r="IY3154" s="74"/>
      <c r="IZ3154" s="74"/>
      <c r="JA3154" s="74"/>
    </row>
    <row r="3155" spans="1:261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Q3155" s="74"/>
      <c r="R3155" s="74"/>
      <c r="S3155" s="74"/>
      <c r="T3155" s="74"/>
      <c r="U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  <c r="IW3155" s="74"/>
      <c r="IX3155" s="74"/>
      <c r="IY3155" s="74"/>
      <c r="IZ3155" s="74"/>
      <c r="JA3155" s="74"/>
    </row>
    <row r="3156" spans="1:261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Q3156" s="74"/>
      <c r="R3156" s="74"/>
      <c r="S3156" s="74"/>
      <c r="T3156" s="74"/>
      <c r="U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  <c r="IW3156" s="74"/>
      <c r="IX3156" s="74"/>
      <c r="IY3156" s="74"/>
      <c r="IZ3156" s="74"/>
      <c r="JA3156" s="74"/>
    </row>
    <row r="3157" spans="1:261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Q3157" s="74"/>
      <c r="R3157" s="74"/>
      <c r="S3157" s="74"/>
      <c r="T3157" s="74"/>
      <c r="U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  <c r="IW3157" s="74"/>
      <c r="IX3157" s="74"/>
      <c r="IY3157" s="74"/>
      <c r="IZ3157" s="74"/>
      <c r="JA3157" s="74"/>
    </row>
    <row r="3158" spans="1:261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Q3158" s="74"/>
      <c r="R3158" s="74"/>
      <c r="S3158" s="74"/>
      <c r="T3158" s="74"/>
      <c r="U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  <c r="IW3158" s="74"/>
      <c r="IX3158" s="74"/>
      <c r="IY3158" s="74"/>
      <c r="IZ3158" s="74"/>
      <c r="JA3158" s="74"/>
    </row>
    <row r="3159" spans="1:261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Q3159" s="74"/>
      <c r="R3159" s="74"/>
      <c r="S3159" s="74"/>
      <c r="T3159" s="74"/>
      <c r="U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  <c r="IW3159" s="74"/>
      <c r="IX3159" s="74"/>
      <c r="IY3159" s="74"/>
      <c r="IZ3159" s="74"/>
      <c r="JA3159" s="74"/>
    </row>
    <row r="3160" spans="1:261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Q3160" s="74"/>
      <c r="R3160" s="74"/>
      <c r="S3160" s="74"/>
      <c r="T3160" s="74"/>
      <c r="U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  <c r="IW3160" s="74"/>
      <c r="IX3160" s="74"/>
      <c r="IY3160" s="74"/>
      <c r="IZ3160" s="74"/>
      <c r="JA3160" s="74"/>
    </row>
    <row r="3161" spans="1:261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Q3161" s="74"/>
      <c r="R3161" s="74"/>
      <c r="S3161" s="74"/>
      <c r="T3161" s="74"/>
      <c r="U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  <c r="IW3161" s="74"/>
      <c r="IX3161" s="74"/>
      <c r="IY3161" s="74"/>
      <c r="IZ3161" s="74"/>
      <c r="JA3161" s="74"/>
    </row>
    <row r="3162" spans="1:261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Q3162" s="74"/>
      <c r="R3162" s="74"/>
      <c r="S3162" s="74"/>
      <c r="T3162" s="74"/>
      <c r="U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  <c r="IW3162" s="74"/>
      <c r="IX3162" s="74"/>
      <c r="IY3162" s="74"/>
      <c r="IZ3162" s="74"/>
      <c r="JA3162" s="74"/>
    </row>
    <row r="3163" spans="1:261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Q3163" s="74"/>
      <c r="R3163" s="74"/>
      <c r="S3163" s="74"/>
      <c r="T3163" s="74"/>
      <c r="U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  <c r="IW3163" s="74"/>
      <c r="IX3163" s="74"/>
      <c r="IY3163" s="74"/>
      <c r="IZ3163" s="74"/>
      <c r="JA3163" s="74"/>
    </row>
    <row r="3164" spans="1:261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Q3164" s="74"/>
      <c r="R3164" s="74"/>
      <c r="S3164" s="74"/>
      <c r="T3164" s="74"/>
      <c r="U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  <c r="IW3164" s="74"/>
      <c r="IX3164" s="74"/>
      <c r="IY3164" s="74"/>
      <c r="IZ3164" s="74"/>
      <c r="JA3164" s="74"/>
    </row>
    <row r="3165" spans="1:261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Q3165" s="74"/>
      <c r="R3165" s="74"/>
      <c r="S3165" s="74"/>
      <c r="T3165" s="74"/>
      <c r="U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  <c r="IW3165" s="74"/>
      <c r="IX3165" s="74"/>
      <c r="IY3165" s="74"/>
      <c r="IZ3165" s="74"/>
      <c r="JA3165" s="74"/>
    </row>
    <row r="3166" spans="1:261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Q3166" s="74"/>
      <c r="R3166" s="74"/>
      <c r="S3166" s="74"/>
      <c r="T3166" s="74"/>
      <c r="U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  <c r="IW3166" s="74"/>
      <c r="IX3166" s="74"/>
      <c r="IY3166" s="74"/>
      <c r="IZ3166" s="74"/>
      <c r="JA3166" s="74"/>
    </row>
    <row r="3167" spans="1:261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Q3167" s="74"/>
      <c r="R3167" s="74"/>
      <c r="S3167" s="74"/>
      <c r="T3167" s="74"/>
      <c r="U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  <c r="IW3167" s="74"/>
      <c r="IX3167" s="74"/>
      <c r="IY3167" s="74"/>
      <c r="IZ3167" s="74"/>
      <c r="JA3167" s="74"/>
    </row>
    <row r="3168" spans="1:261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Q3168" s="74"/>
      <c r="R3168" s="74"/>
      <c r="S3168" s="74"/>
      <c r="T3168" s="74"/>
      <c r="U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  <c r="IW3168" s="74"/>
      <c r="IX3168" s="74"/>
      <c r="IY3168" s="74"/>
      <c r="IZ3168" s="74"/>
      <c r="JA3168" s="74"/>
    </row>
    <row r="3169" spans="1:261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Q3169" s="74"/>
      <c r="R3169" s="74"/>
      <c r="S3169" s="74"/>
      <c r="T3169" s="74"/>
      <c r="U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  <c r="IW3169" s="74"/>
      <c r="IX3169" s="74"/>
      <c r="IY3169" s="74"/>
      <c r="IZ3169" s="74"/>
      <c r="JA3169" s="74"/>
    </row>
    <row r="3170" spans="1:261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Q3170" s="74"/>
      <c r="R3170" s="74"/>
      <c r="S3170" s="74"/>
      <c r="T3170" s="74"/>
      <c r="U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  <c r="IW3170" s="74"/>
      <c r="IX3170" s="74"/>
      <c r="IY3170" s="74"/>
      <c r="IZ3170" s="74"/>
      <c r="JA3170" s="74"/>
    </row>
    <row r="3171" spans="1:261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Q3171" s="74"/>
      <c r="R3171" s="74"/>
      <c r="S3171" s="74"/>
      <c r="T3171" s="74"/>
      <c r="U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  <c r="IW3171" s="74"/>
      <c r="IX3171" s="74"/>
      <c r="IY3171" s="74"/>
      <c r="IZ3171" s="74"/>
      <c r="JA3171" s="74"/>
    </row>
    <row r="3172" spans="1:261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Q3172" s="74"/>
      <c r="R3172" s="74"/>
      <c r="S3172" s="74"/>
      <c r="T3172" s="74"/>
      <c r="U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  <c r="IW3172" s="74"/>
      <c r="IX3172" s="74"/>
      <c r="IY3172" s="74"/>
      <c r="IZ3172" s="74"/>
      <c r="JA3172" s="74"/>
    </row>
    <row r="3173" spans="1:261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Q3173" s="74"/>
      <c r="R3173" s="74"/>
      <c r="S3173" s="74"/>
      <c r="T3173" s="74"/>
      <c r="U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  <c r="IW3173" s="74"/>
      <c r="IX3173" s="74"/>
      <c r="IY3173" s="74"/>
      <c r="IZ3173" s="74"/>
      <c r="JA3173" s="74"/>
    </row>
    <row r="3174" spans="1:261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Q3174" s="74"/>
      <c r="R3174" s="74"/>
      <c r="S3174" s="74"/>
      <c r="T3174" s="74"/>
      <c r="U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  <c r="IW3174" s="74"/>
      <c r="IX3174" s="74"/>
      <c r="IY3174" s="74"/>
      <c r="IZ3174" s="74"/>
      <c r="JA3174" s="74"/>
    </row>
    <row r="3175" spans="1:261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Q3175" s="74"/>
      <c r="R3175" s="74"/>
      <c r="S3175" s="74"/>
      <c r="T3175" s="74"/>
      <c r="U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  <c r="IW3175" s="74"/>
      <c r="IX3175" s="74"/>
      <c r="IY3175" s="74"/>
      <c r="IZ3175" s="74"/>
      <c r="JA3175" s="74"/>
    </row>
    <row r="3176" spans="1:261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Q3176" s="74"/>
      <c r="R3176" s="74"/>
      <c r="S3176" s="74"/>
      <c r="T3176" s="74"/>
      <c r="U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  <c r="IW3176" s="74"/>
      <c r="IX3176" s="74"/>
      <c r="IY3176" s="74"/>
      <c r="IZ3176" s="74"/>
      <c r="JA3176" s="74"/>
    </row>
    <row r="3177" spans="1:261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Q3177" s="74"/>
      <c r="R3177" s="74"/>
      <c r="S3177" s="74"/>
      <c r="T3177" s="74"/>
      <c r="U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  <c r="IW3177" s="74"/>
      <c r="IX3177" s="74"/>
      <c r="IY3177" s="74"/>
      <c r="IZ3177" s="74"/>
      <c r="JA3177" s="74"/>
    </row>
    <row r="3178" spans="1:261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Q3178" s="74"/>
      <c r="R3178" s="74"/>
      <c r="S3178" s="74"/>
      <c r="T3178" s="74"/>
      <c r="U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  <c r="IW3178" s="74"/>
      <c r="IX3178" s="74"/>
      <c r="IY3178" s="74"/>
      <c r="IZ3178" s="74"/>
      <c r="JA3178" s="74"/>
    </row>
    <row r="3179" spans="1:261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Q3179" s="74"/>
      <c r="R3179" s="74"/>
      <c r="S3179" s="74"/>
      <c r="T3179" s="74"/>
      <c r="U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  <c r="IW3179" s="74"/>
      <c r="IX3179" s="74"/>
      <c r="IY3179" s="74"/>
      <c r="IZ3179" s="74"/>
      <c r="JA3179" s="74"/>
    </row>
    <row r="3180" spans="1:261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Q3180" s="74"/>
      <c r="R3180" s="74"/>
      <c r="S3180" s="74"/>
      <c r="T3180" s="74"/>
      <c r="U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  <c r="IW3180" s="74"/>
      <c r="IX3180" s="74"/>
      <c r="IY3180" s="74"/>
      <c r="IZ3180" s="74"/>
      <c r="JA3180" s="74"/>
    </row>
    <row r="3181" spans="1:261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Q3181" s="74"/>
      <c r="R3181" s="74"/>
      <c r="S3181" s="74"/>
      <c r="T3181" s="74"/>
      <c r="U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  <c r="IW3181" s="74"/>
      <c r="IX3181" s="74"/>
      <c r="IY3181" s="74"/>
      <c r="IZ3181" s="74"/>
      <c r="JA3181" s="74"/>
    </row>
    <row r="3182" spans="1:261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Q3182" s="74"/>
      <c r="R3182" s="74"/>
      <c r="S3182" s="74"/>
      <c r="T3182" s="74"/>
      <c r="U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  <c r="IW3182" s="74"/>
      <c r="IX3182" s="74"/>
      <c r="IY3182" s="74"/>
      <c r="IZ3182" s="74"/>
      <c r="JA3182" s="74"/>
    </row>
    <row r="3183" spans="1:261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Q3183" s="74"/>
      <c r="R3183" s="74"/>
      <c r="S3183" s="74"/>
      <c r="T3183" s="74"/>
      <c r="U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  <c r="IW3183" s="74"/>
      <c r="IX3183" s="74"/>
      <c r="IY3183" s="74"/>
      <c r="IZ3183" s="74"/>
      <c r="JA3183" s="74"/>
    </row>
    <row r="3184" spans="1:261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Q3184" s="74"/>
      <c r="R3184" s="74"/>
      <c r="S3184" s="74"/>
      <c r="T3184" s="74"/>
      <c r="U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  <c r="IW3184" s="74"/>
      <c r="IX3184" s="74"/>
      <c r="IY3184" s="74"/>
      <c r="IZ3184" s="74"/>
      <c r="JA3184" s="74"/>
    </row>
    <row r="3185" spans="1:261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Q3185" s="74"/>
      <c r="R3185" s="74"/>
      <c r="S3185" s="74"/>
      <c r="T3185" s="74"/>
      <c r="U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  <c r="IW3185" s="74"/>
      <c r="IX3185" s="74"/>
      <c r="IY3185" s="74"/>
      <c r="IZ3185" s="74"/>
      <c r="JA3185" s="74"/>
    </row>
    <row r="3186" spans="1:261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Q3186" s="74"/>
      <c r="R3186" s="74"/>
      <c r="S3186" s="74"/>
      <c r="T3186" s="74"/>
      <c r="U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  <c r="IW3186" s="74"/>
      <c r="IX3186" s="74"/>
      <c r="IY3186" s="74"/>
      <c r="IZ3186" s="74"/>
      <c r="JA3186" s="74"/>
    </row>
    <row r="3187" spans="1:261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Q3187" s="74"/>
      <c r="R3187" s="74"/>
      <c r="S3187" s="74"/>
      <c r="T3187" s="74"/>
      <c r="U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  <c r="IW3187" s="74"/>
      <c r="IX3187" s="74"/>
      <c r="IY3187" s="74"/>
      <c r="IZ3187" s="74"/>
      <c r="JA3187" s="74"/>
    </row>
    <row r="3188" spans="1:261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Q3188" s="74"/>
      <c r="R3188" s="74"/>
      <c r="S3188" s="74"/>
      <c r="T3188" s="74"/>
      <c r="U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  <c r="IW3188" s="74"/>
      <c r="IX3188" s="74"/>
      <c r="IY3188" s="74"/>
      <c r="IZ3188" s="74"/>
      <c r="JA3188" s="74"/>
    </row>
    <row r="3189" spans="1:261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Q3189" s="74"/>
      <c r="R3189" s="74"/>
      <c r="S3189" s="74"/>
      <c r="T3189" s="74"/>
      <c r="U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  <c r="IW3189" s="74"/>
      <c r="IX3189" s="74"/>
      <c r="IY3189" s="74"/>
      <c r="IZ3189" s="74"/>
      <c r="JA3189" s="74"/>
    </row>
    <row r="3190" spans="1:261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Q3190" s="74"/>
      <c r="R3190" s="74"/>
      <c r="S3190" s="74"/>
      <c r="T3190" s="74"/>
      <c r="U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  <c r="IW3190" s="74"/>
      <c r="IX3190" s="74"/>
      <c r="IY3190" s="74"/>
      <c r="IZ3190" s="74"/>
      <c r="JA3190" s="74"/>
    </row>
    <row r="3191" spans="1:261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Q3191" s="74"/>
      <c r="R3191" s="74"/>
      <c r="S3191" s="74"/>
      <c r="T3191" s="74"/>
      <c r="U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  <c r="IW3191" s="74"/>
      <c r="IX3191" s="74"/>
      <c r="IY3191" s="74"/>
      <c r="IZ3191" s="74"/>
      <c r="JA3191" s="74"/>
    </row>
    <row r="3192" spans="1:261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Q3192" s="74"/>
      <c r="R3192" s="74"/>
      <c r="S3192" s="74"/>
      <c r="T3192" s="74"/>
      <c r="U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  <c r="IW3192" s="74"/>
      <c r="IX3192" s="74"/>
      <c r="IY3192" s="74"/>
      <c r="IZ3192" s="74"/>
      <c r="JA3192" s="74"/>
    </row>
    <row r="3193" spans="1:261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Q3193" s="74"/>
      <c r="R3193" s="74"/>
      <c r="S3193" s="74"/>
      <c r="T3193" s="74"/>
      <c r="U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  <c r="IW3193" s="74"/>
      <c r="IX3193" s="74"/>
      <c r="IY3193" s="74"/>
      <c r="IZ3193" s="74"/>
      <c r="JA3193" s="74"/>
    </row>
    <row r="3194" spans="1:261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Q3194" s="74"/>
      <c r="R3194" s="74"/>
      <c r="S3194" s="74"/>
      <c r="T3194" s="74"/>
      <c r="U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  <c r="IW3194" s="74"/>
      <c r="IX3194" s="74"/>
      <c r="IY3194" s="74"/>
      <c r="IZ3194" s="74"/>
      <c r="JA3194" s="74"/>
    </row>
    <row r="3195" spans="1:261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Q3195" s="74"/>
      <c r="R3195" s="74"/>
      <c r="S3195" s="74"/>
      <c r="T3195" s="74"/>
      <c r="U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  <c r="IW3195" s="74"/>
      <c r="IX3195" s="74"/>
      <c r="IY3195" s="74"/>
      <c r="IZ3195" s="74"/>
      <c r="JA3195" s="74"/>
    </row>
    <row r="3196" spans="1:261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Q3196" s="74"/>
      <c r="R3196" s="74"/>
      <c r="S3196" s="74"/>
      <c r="T3196" s="74"/>
      <c r="U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  <c r="IW3196" s="74"/>
      <c r="IX3196" s="74"/>
      <c r="IY3196" s="74"/>
      <c r="IZ3196" s="74"/>
      <c r="JA3196" s="74"/>
    </row>
    <row r="3197" spans="1:261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Q3197" s="74"/>
      <c r="R3197" s="74"/>
      <c r="S3197" s="74"/>
      <c r="T3197" s="74"/>
      <c r="U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  <c r="IW3197" s="74"/>
      <c r="IX3197" s="74"/>
      <c r="IY3197" s="74"/>
      <c r="IZ3197" s="74"/>
      <c r="JA3197" s="74"/>
    </row>
    <row r="3198" spans="1:261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Q3198" s="74"/>
      <c r="R3198" s="74"/>
      <c r="S3198" s="74"/>
      <c r="T3198" s="74"/>
      <c r="U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  <c r="IW3198" s="74"/>
      <c r="IX3198" s="74"/>
      <c r="IY3198" s="74"/>
      <c r="IZ3198" s="74"/>
      <c r="JA3198" s="74"/>
    </row>
    <row r="3199" spans="1:261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Q3199" s="74"/>
      <c r="R3199" s="74"/>
      <c r="S3199" s="74"/>
      <c r="T3199" s="74"/>
      <c r="U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  <c r="IW3199" s="74"/>
      <c r="IX3199" s="74"/>
      <c r="IY3199" s="74"/>
      <c r="IZ3199" s="74"/>
      <c r="JA3199" s="74"/>
    </row>
    <row r="3200" spans="1:261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Q3200" s="74"/>
      <c r="R3200" s="74"/>
      <c r="S3200" s="74"/>
      <c r="T3200" s="74"/>
      <c r="U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  <c r="IW3200" s="74"/>
      <c r="IX3200" s="74"/>
      <c r="IY3200" s="74"/>
      <c r="IZ3200" s="74"/>
      <c r="JA3200" s="74"/>
    </row>
    <row r="3201" spans="1:261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Q3201" s="74"/>
      <c r="R3201" s="74"/>
      <c r="S3201" s="74"/>
      <c r="T3201" s="74"/>
      <c r="U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  <c r="IW3201" s="74"/>
      <c r="IX3201" s="74"/>
      <c r="IY3201" s="74"/>
      <c r="IZ3201" s="74"/>
      <c r="JA3201" s="74"/>
    </row>
    <row r="3202" spans="1:261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Q3202" s="74"/>
      <c r="R3202" s="74"/>
      <c r="S3202" s="74"/>
      <c r="T3202" s="74"/>
      <c r="U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  <c r="IW3202" s="74"/>
      <c r="IX3202" s="74"/>
      <c r="IY3202" s="74"/>
      <c r="IZ3202" s="74"/>
      <c r="JA3202" s="74"/>
    </row>
    <row r="3203" spans="1:261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Q3203" s="74"/>
      <c r="R3203" s="74"/>
      <c r="S3203" s="74"/>
      <c r="T3203" s="74"/>
      <c r="U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  <c r="IW3203" s="74"/>
      <c r="IX3203" s="74"/>
      <c r="IY3203" s="74"/>
      <c r="IZ3203" s="74"/>
      <c r="JA3203" s="74"/>
    </row>
    <row r="3204" spans="1:261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Q3204" s="74"/>
      <c r="R3204" s="74"/>
      <c r="S3204" s="74"/>
      <c r="T3204" s="74"/>
      <c r="U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  <c r="IW3204" s="74"/>
      <c r="IX3204" s="74"/>
      <c r="IY3204" s="74"/>
      <c r="IZ3204" s="74"/>
      <c r="JA3204" s="74"/>
    </row>
    <row r="3205" spans="1:261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Q3205" s="74"/>
      <c r="R3205" s="74"/>
      <c r="S3205" s="74"/>
      <c r="T3205" s="74"/>
      <c r="U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  <c r="IW3205" s="74"/>
      <c r="IX3205" s="74"/>
      <c r="IY3205" s="74"/>
      <c r="IZ3205" s="74"/>
      <c r="JA3205" s="74"/>
    </row>
    <row r="3206" spans="1:261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Q3206" s="74"/>
      <c r="R3206" s="74"/>
      <c r="S3206" s="74"/>
      <c r="T3206" s="74"/>
      <c r="U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  <c r="IW3206" s="74"/>
      <c r="IX3206" s="74"/>
      <c r="IY3206" s="74"/>
      <c r="IZ3206" s="74"/>
      <c r="JA3206" s="74"/>
    </row>
    <row r="3207" spans="1:261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Q3207" s="74"/>
      <c r="R3207" s="74"/>
      <c r="S3207" s="74"/>
      <c r="T3207" s="74"/>
      <c r="U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  <c r="IW3207" s="74"/>
      <c r="IX3207" s="74"/>
      <c r="IY3207" s="74"/>
      <c r="IZ3207" s="74"/>
      <c r="JA3207" s="74"/>
    </row>
    <row r="3208" spans="1:261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Q3208" s="74"/>
      <c r="R3208" s="74"/>
      <c r="S3208" s="74"/>
      <c r="T3208" s="74"/>
      <c r="U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  <c r="IW3208" s="74"/>
      <c r="IX3208" s="74"/>
      <c r="IY3208" s="74"/>
      <c r="IZ3208" s="74"/>
      <c r="JA3208" s="74"/>
    </row>
    <row r="3209" spans="1:261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Q3209" s="74"/>
      <c r="R3209" s="74"/>
      <c r="S3209" s="74"/>
      <c r="T3209" s="74"/>
      <c r="U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  <c r="IW3209" s="74"/>
      <c r="IX3209" s="74"/>
      <c r="IY3209" s="74"/>
      <c r="IZ3209" s="74"/>
      <c r="JA3209" s="74"/>
    </row>
    <row r="3210" spans="1:261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Q3210" s="74"/>
      <c r="R3210" s="74"/>
      <c r="S3210" s="74"/>
      <c r="T3210" s="74"/>
      <c r="U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  <c r="IW3210" s="74"/>
      <c r="IX3210" s="74"/>
      <c r="IY3210" s="74"/>
      <c r="IZ3210" s="74"/>
      <c r="JA3210" s="74"/>
    </row>
    <row r="3211" spans="1:261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Q3211" s="74"/>
      <c r="R3211" s="74"/>
      <c r="S3211" s="74"/>
      <c r="T3211" s="74"/>
      <c r="U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  <c r="IW3211" s="74"/>
      <c r="IX3211" s="74"/>
      <c r="IY3211" s="74"/>
      <c r="IZ3211" s="74"/>
      <c r="JA3211" s="74"/>
    </row>
    <row r="3212" spans="1:261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Q3212" s="74"/>
      <c r="R3212" s="74"/>
      <c r="S3212" s="74"/>
      <c r="T3212" s="74"/>
      <c r="U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  <c r="IW3212" s="74"/>
      <c r="IX3212" s="74"/>
      <c r="IY3212" s="74"/>
      <c r="IZ3212" s="74"/>
      <c r="JA3212" s="74"/>
    </row>
    <row r="3213" spans="1:261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Q3213" s="74"/>
      <c r="R3213" s="74"/>
      <c r="S3213" s="74"/>
      <c r="T3213" s="74"/>
      <c r="U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  <c r="IW3213" s="74"/>
      <c r="IX3213" s="74"/>
      <c r="IY3213" s="74"/>
      <c r="IZ3213" s="74"/>
      <c r="JA3213" s="74"/>
    </row>
    <row r="3214" spans="1:261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Q3214" s="74"/>
      <c r="R3214" s="74"/>
      <c r="S3214" s="74"/>
      <c r="T3214" s="74"/>
      <c r="U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  <c r="IW3214" s="74"/>
      <c r="IX3214" s="74"/>
      <c r="IY3214" s="74"/>
      <c r="IZ3214" s="74"/>
      <c r="JA3214" s="74"/>
    </row>
    <row r="3215" spans="1:261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Q3215" s="74"/>
      <c r="R3215" s="74"/>
      <c r="S3215" s="74"/>
      <c r="T3215" s="74"/>
      <c r="U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  <c r="IW3215" s="74"/>
      <c r="IX3215" s="74"/>
      <c r="IY3215" s="74"/>
      <c r="IZ3215" s="74"/>
      <c r="JA3215" s="74"/>
    </row>
    <row r="3216" spans="1:261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Q3216" s="74"/>
      <c r="R3216" s="74"/>
      <c r="S3216" s="74"/>
      <c r="T3216" s="74"/>
      <c r="U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  <c r="IW3216" s="74"/>
      <c r="IX3216" s="74"/>
      <c r="IY3216" s="74"/>
      <c r="IZ3216" s="74"/>
      <c r="JA3216" s="74"/>
    </row>
    <row r="3217" spans="1:261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Q3217" s="74"/>
      <c r="R3217" s="74"/>
      <c r="S3217" s="74"/>
      <c r="T3217" s="74"/>
      <c r="U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  <c r="IW3217" s="74"/>
      <c r="IX3217" s="74"/>
      <c r="IY3217" s="74"/>
      <c r="IZ3217" s="74"/>
      <c r="JA3217" s="74"/>
    </row>
    <row r="3218" spans="1:261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Q3218" s="74"/>
      <c r="R3218" s="74"/>
      <c r="S3218" s="74"/>
      <c r="T3218" s="74"/>
      <c r="U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  <c r="IW3218" s="74"/>
      <c r="IX3218" s="74"/>
      <c r="IY3218" s="74"/>
      <c r="IZ3218" s="74"/>
      <c r="JA3218" s="74"/>
    </row>
    <row r="3219" spans="1:261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Q3219" s="74"/>
      <c r="R3219" s="74"/>
      <c r="S3219" s="74"/>
      <c r="T3219" s="74"/>
      <c r="U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  <c r="IW3219" s="74"/>
      <c r="IX3219" s="74"/>
      <c r="IY3219" s="74"/>
      <c r="IZ3219" s="74"/>
      <c r="JA3219" s="74"/>
    </row>
    <row r="3220" spans="1:261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Q3220" s="74"/>
      <c r="R3220" s="74"/>
      <c r="S3220" s="74"/>
      <c r="T3220" s="74"/>
      <c r="U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  <c r="IW3220" s="74"/>
      <c r="IX3220" s="74"/>
      <c r="IY3220" s="74"/>
      <c r="IZ3220" s="74"/>
      <c r="JA3220" s="74"/>
    </row>
    <row r="3221" spans="1:261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Q3221" s="74"/>
      <c r="R3221" s="74"/>
      <c r="S3221" s="74"/>
      <c r="T3221" s="74"/>
      <c r="U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  <c r="IW3221" s="74"/>
      <c r="IX3221" s="74"/>
      <c r="IY3221" s="74"/>
      <c r="IZ3221" s="74"/>
      <c r="JA3221" s="74"/>
    </row>
    <row r="3222" spans="1:261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Q3222" s="74"/>
      <c r="R3222" s="74"/>
      <c r="S3222" s="74"/>
      <c r="T3222" s="74"/>
      <c r="U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  <c r="IW3222" s="74"/>
      <c r="IX3222" s="74"/>
      <c r="IY3222" s="74"/>
      <c r="IZ3222" s="74"/>
      <c r="JA3222" s="74"/>
    </row>
    <row r="3223" spans="1:261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Q3223" s="74"/>
      <c r="R3223" s="74"/>
      <c r="S3223" s="74"/>
      <c r="T3223" s="74"/>
      <c r="U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  <c r="IW3223" s="74"/>
      <c r="IX3223" s="74"/>
      <c r="IY3223" s="74"/>
      <c r="IZ3223" s="74"/>
      <c r="JA3223" s="74"/>
    </row>
    <row r="3224" spans="1:261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Q3224" s="74"/>
      <c r="R3224" s="74"/>
      <c r="S3224" s="74"/>
      <c r="T3224" s="74"/>
      <c r="U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  <c r="IW3224" s="74"/>
      <c r="IX3224" s="74"/>
      <c r="IY3224" s="74"/>
      <c r="IZ3224" s="74"/>
      <c r="JA3224" s="74"/>
    </row>
    <row r="3225" spans="1:261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Q3225" s="74"/>
      <c r="R3225" s="74"/>
      <c r="S3225" s="74"/>
      <c r="T3225" s="74"/>
      <c r="U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  <c r="IW3225" s="74"/>
      <c r="IX3225" s="74"/>
      <c r="IY3225" s="74"/>
      <c r="IZ3225" s="74"/>
      <c r="JA3225" s="74"/>
    </row>
    <row r="3226" spans="1:261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Q3226" s="74"/>
      <c r="R3226" s="74"/>
      <c r="S3226" s="74"/>
      <c r="T3226" s="74"/>
      <c r="U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  <c r="IW3226" s="74"/>
      <c r="IX3226" s="74"/>
      <c r="IY3226" s="74"/>
      <c r="IZ3226" s="74"/>
      <c r="JA3226" s="74"/>
    </row>
    <row r="3227" spans="1:261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Q3227" s="74"/>
      <c r="R3227" s="74"/>
      <c r="S3227" s="74"/>
      <c r="T3227" s="74"/>
      <c r="U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  <c r="IW3227" s="74"/>
      <c r="IX3227" s="74"/>
      <c r="IY3227" s="74"/>
      <c r="IZ3227" s="74"/>
      <c r="JA3227" s="74"/>
    </row>
    <row r="3228" spans="1:261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Q3228" s="74"/>
      <c r="R3228" s="74"/>
      <c r="S3228" s="74"/>
      <c r="T3228" s="74"/>
      <c r="U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  <c r="IW3228" s="74"/>
      <c r="IX3228" s="74"/>
      <c r="IY3228" s="74"/>
      <c r="IZ3228" s="74"/>
      <c r="JA3228" s="74"/>
    </row>
    <row r="3229" spans="1:261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Q3229" s="74"/>
      <c r="R3229" s="74"/>
      <c r="S3229" s="74"/>
      <c r="T3229" s="74"/>
      <c r="U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  <c r="IW3229" s="74"/>
      <c r="IX3229" s="74"/>
      <c r="IY3229" s="74"/>
      <c r="IZ3229" s="74"/>
      <c r="JA3229" s="74"/>
    </row>
    <row r="3230" spans="1:261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Q3230" s="74"/>
      <c r="R3230" s="74"/>
      <c r="S3230" s="74"/>
      <c r="T3230" s="74"/>
      <c r="U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  <c r="IW3230" s="74"/>
      <c r="IX3230" s="74"/>
      <c r="IY3230" s="74"/>
      <c r="IZ3230" s="74"/>
      <c r="JA3230" s="74"/>
    </row>
    <row r="3231" spans="1:261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Q3231" s="74"/>
      <c r="R3231" s="74"/>
      <c r="S3231" s="74"/>
      <c r="T3231" s="74"/>
      <c r="U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  <c r="IW3231" s="74"/>
      <c r="IX3231" s="74"/>
      <c r="IY3231" s="74"/>
      <c r="IZ3231" s="74"/>
      <c r="JA3231" s="74"/>
    </row>
    <row r="3232" spans="1:261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Q3232" s="74"/>
      <c r="R3232" s="74"/>
      <c r="S3232" s="74"/>
      <c r="T3232" s="74"/>
      <c r="U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  <c r="IW3232" s="74"/>
      <c r="IX3232" s="74"/>
      <c r="IY3232" s="74"/>
      <c r="IZ3232" s="74"/>
      <c r="JA3232" s="74"/>
    </row>
    <row r="3233" spans="1:261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Q3233" s="74"/>
      <c r="R3233" s="74"/>
      <c r="S3233" s="74"/>
      <c r="T3233" s="74"/>
      <c r="U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  <c r="IW3233" s="74"/>
      <c r="IX3233" s="74"/>
      <c r="IY3233" s="74"/>
      <c r="IZ3233" s="74"/>
      <c r="JA3233" s="74"/>
    </row>
    <row r="3234" spans="1:261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Q3234" s="74"/>
      <c r="R3234" s="74"/>
      <c r="S3234" s="74"/>
      <c r="T3234" s="74"/>
      <c r="U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  <c r="IW3234" s="74"/>
      <c r="IX3234" s="74"/>
      <c r="IY3234" s="74"/>
      <c r="IZ3234" s="74"/>
      <c r="JA3234" s="74"/>
    </row>
    <row r="3235" spans="1:261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Q3235" s="74"/>
      <c r="R3235" s="74"/>
      <c r="S3235" s="74"/>
      <c r="T3235" s="74"/>
      <c r="U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  <c r="IW3235" s="74"/>
      <c r="IX3235" s="74"/>
      <c r="IY3235" s="74"/>
      <c r="IZ3235" s="74"/>
      <c r="JA3235" s="74"/>
    </row>
    <row r="3236" spans="1:261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Q3236" s="74"/>
      <c r="R3236" s="74"/>
      <c r="S3236" s="74"/>
      <c r="T3236" s="74"/>
      <c r="U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  <c r="IW3236" s="74"/>
      <c r="IX3236" s="74"/>
      <c r="IY3236" s="74"/>
      <c r="IZ3236" s="74"/>
      <c r="JA3236" s="74"/>
    </row>
    <row r="3237" spans="1:261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Q3237" s="74"/>
      <c r="R3237" s="74"/>
      <c r="S3237" s="74"/>
      <c r="T3237" s="74"/>
      <c r="U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  <c r="IW3237" s="74"/>
      <c r="IX3237" s="74"/>
      <c r="IY3237" s="74"/>
      <c r="IZ3237" s="74"/>
      <c r="JA3237" s="74"/>
    </row>
    <row r="3238" spans="1:261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Q3238" s="74"/>
      <c r="R3238" s="74"/>
      <c r="S3238" s="74"/>
      <c r="T3238" s="74"/>
      <c r="U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  <c r="IW3238" s="74"/>
      <c r="IX3238" s="74"/>
      <c r="IY3238" s="74"/>
      <c r="IZ3238" s="74"/>
      <c r="JA3238" s="74"/>
    </row>
    <row r="3239" spans="1:261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Q3239" s="74"/>
      <c r="R3239" s="74"/>
      <c r="S3239" s="74"/>
      <c r="T3239" s="74"/>
      <c r="U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  <c r="IW3239" s="74"/>
      <c r="IX3239" s="74"/>
      <c r="IY3239" s="74"/>
      <c r="IZ3239" s="74"/>
      <c r="JA3239" s="74"/>
    </row>
    <row r="3240" spans="1:261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Q3240" s="74"/>
      <c r="R3240" s="74"/>
      <c r="S3240" s="74"/>
      <c r="T3240" s="74"/>
      <c r="U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  <c r="IW3240" s="74"/>
      <c r="IX3240" s="74"/>
      <c r="IY3240" s="74"/>
      <c r="IZ3240" s="74"/>
      <c r="JA3240" s="74"/>
    </row>
    <row r="3241" spans="1:261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Q3241" s="74"/>
      <c r="R3241" s="74"/>
      <c r="S3241" s="74"/>
      <c r="T3241" s="74"/>
      <c r="U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  <c r="IW3241" s="74"/>
      <c r="IX3241" s="74"/>
      <c r="IY3241" s="74"/>
      <c r="IZ3241" s="74"/>
      <c r="JA3241" s="74"/>
    </row>
    <row r="3242" spans="1:261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Q3242" s="74"/>
      <c r="R3242" s="74"/>
      <c r="S3242" s="74"/>
      <c r="T3242" s="74"/>
      <c r="U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  <c r="IW3242" s="74"/>
      <c r="IX3242" s="74"/>
      <c r="IY3242" s="74"/>
      <c r="IZ3242" s="74"/>
      <c r="JA3242" s="74"/>
    </row>
    <row r="3243" spans="1:261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Q3243" s="74"/>
      <c r="R3243" s="74"/>
      <c r="S3243" s="74"/>
      <c r="T3243" s="74"/>
      <c r="U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  <c r="IW3243" s="74"/>
      <c r="IX3243" s="74"/>
      <c r="IY3243" s="74"/>
      <c r="IZ3243" s="74"/>
      <c r="JA3243" s="74"/>
    </row>
    <row r="3244" spans="1:261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Q3244" s="74"/>
      <c r="R3244" s="74"/>
      <c r="S3244" s="74"/>
      <c r="T3244" s="74"/>
      <c r="U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  <c r="IW3244" s="74"/>
      <c r="IX3244" s="74"/>
      <c r="IY3244" s="74"/>
      <c r="IZ3244" s="74"/>
      <c r="JA3244" s="74"/>
    </row>
    <row r="3245" spans="1:261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Q3245" s="74"/>
      <c r="R3245" s="74"/>
      <c r="S3245" s="74"/>
      <c r="T3245" s="74"/>
      <c r="U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  <c r="IW3245" s="74"/>
      <c r="IX3245" s="74"/>
      <c r="IY3245" s="74"/>
      <c r="IZ3245" s="74"/>
      <c r="JA3245" s="74"/>
    </row>
    <row r="3246" spans="1:261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Q3246" s="74"/>
      <c r="R3246" s="74"/>
      <c r="S3246" s="74"/>
      <c r="T3246" s="74"/>
      <c r="U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  <c r="IW3246" s="74"/>
      <c r="IX3246" s="74"/>
      <c r="IY3246" s="74"/>
      <c r="IZ3246" s="74"/>
      <c r="JA3246" s="74"/>
    </row>
    <row r="3247" spans="1:261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Q3247" s="74"/>
      <c r="R3247" s="74"/>
      <c r="S3247" s="74"/>
      <c r="T3247" s="74"/>
      <c r="U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  <c r="IW3247" s="74"/>
      <c r="IX3247" s="74"/>
      <c r="IY3247" s="74"/>
      <c r="IZ3247" s="74"/>
      <c r="JA3247" s="74"/>
    </row>
    <row r="3248" spans="1:261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Q3248" s="74"/>
      <c r="R3248" s="74"/>
      <c r="S3248" s="74"/>
      <c r="T3248" s="74"/>
      <c r="U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  <c r="IW3248" s="74"/>
      <c r="IX3248" s="74"/>
      <c r="IY3248" s="74"/>
      <c r="IZ3248" s="74"/>
      <c r="JA3248" s="74"/>
    </row>
    <row r="3249" spans="1:261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Q3249" s="74"/>
      <c r="R3249" s="74"/>
      <c r="S3249" s="74"/>
      <c r="T3249" s="74"/>
      <c r="U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  <c r="IW3249" s="74"/>
      <c r="IX3249" s="74"/>
      <c r="IY3249" s="74"/>
      <c r="IZ3249" s="74"/>
      <c r="JA3249" s="74"/>
    </row>
    <row r="3250" spans="1:261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Q3250" s="74"/>
      <c r="R3250" s="74"/>
      <c r="S3250" s="74"/>
      <c r="T3250" s="74"/>
      <c r="U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  <c r="IW3250" s="74"/>
      <c r="IX3250" s="74"/>
      <c r="IY3250" s="74"/>
      <c r="IZ3250" s="74"/>
      <c r="JA3250" s="74"/>
    </row>
    <row r="3251" spans="1:261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Q3251" s="74"/>
      <c r="R3251" s="74"/>
      <c r="S3251" s="74"/>
      <c r="T3251" s="74"/>
      <c r="U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  <c r="IW3251" s="74"/>
      <c r="IX3251" s="74"/>
      <c r="IY3251" s="74"/>
      <c r="IZ3251" s="74"/>
      <c r="JA3251" s="74"/>
    </row>
    <row r="3252" spans="1:261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Q3252" s="74"/>
      <c r="R3252" s="74"/>
      <c r="S3252" s="74"/>
      <c r="T3252" s="74"/>
      <c r="U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  <c r="IW3252" s="74"/>
      <c r="IX3252" s="74"/>
      <c r="IY3252" s="74"/>
      <c r="IZ3252" s="74"/>
      <c r="JA3252" s="74"/>
    </row>
    <row r="3253" spans="1:261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Q3253" s="74"/>
      <c r="R3253" s="74"/>
      <c r="S3253" s="74"/>
      <c r="T3253" s="74"/>
      <c r="U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  <c r="IW3253" s="74"/>
      <c r="IX3253" s="74"/>
      <c r="IY3253" s="74"/>
      <c r="IZ3253" s="74"/>
      <c r="JA3253" s="74"/>
    </row>
    <row r="3254" spans="1:261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Q3254" s="74"/>
      <c r="R3254" s="74"/>
      <c r="S3254" s="74"/>
      <c r="T3254" s="74"/>
      <c r="U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  <c r="IW3254" s="74"/>
      <c r="IX3254" s="74"/>
      <c r="IY3254" s="74"/>
      <c r="IZ3254" s="74"/>
      <c r="JA3254" s="74"/>
    </row>
    <row r="3255" spans="1:261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Q3255" s="74"/>
      <c r="R3255" s="74"/>
      <c r="S3255" s="74"/>
      <c r="T3255" s="74"/>
      <c r="U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  <c r="IW3255" s="74"/>
      <c r="IX3255" s="74"/>
      <c r="IY3255" s="74"/>
      <c r="IZ3255" s="74"/>
      <c r="JA3255" s="74"/>
    </row>
    <row r="3256" spans="1:261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Q3256" s="74"/>
      <c r="R3256" s="74"/>
      <c r="S3256" s="74"/>
      <c r="T3256" s="74"/>
      <c r="U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  <c r="IW3256" s="74"/>
      <c r="IX3256" s="74"/>
      <c r="IY3256" s="74"/>
      <c r="IZ3256" s="74"/>
      <c r="JA3256" s="74"/>
    </row>
    <row r="3257" spans="1:261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Q3257" s="74"/>
      <c r="R3257" s="74"/>
      <c r="S3257" s="74"/>
      <c r="T3257" s="74"/>
      <c r="U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  <c r="IW3257" s="74"/>
      <c r="IX3257" s="74"/>
      <c r="IY3257" s="74"/>
      <c r="IZ3257" s="74"/>
      <c r="JA3257" s="74"/>
    </row>
    <row r="3258" spans="1:261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Q3258" s="74"/>
      <c r="R3258" s="74"/>
      <c r="S3258" s="74"/>
      <c r="T3258" s="74"/>
      <c r="U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  <c r="IW3258" s="74"/>
      <c r="IX3258" s="74"/>
      <c r="IY3258" s="74"/>
      <c r="IZ3258" s="74"/>
      <c r="JA3258" s="74"/>
    </row>
    <row r="3259" spans="1:261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Q3259" s="74"/>
      <c r="R3259" s="74"/>
      <c r="S3259" s="74"/>
      <c r="T3259" s="74"/>
      <c r="U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  <c r="IW3259" s="74"/>
      <c r="IX3259" s="74"/>
      <c r="IY3259" s="74"/>
      <c r="IZ3259" s="74"/>
      <c r="JA3259" s="74"/>
    </row>
    <row r="3260" spans="1:261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Q3260" s="74"/>
      <c r="R3260" s="74"/>
      <c r="S3260" s="74"/>
      <c r="T3260" s="74"/>
      <c r="U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  <c r="IW3260" s="74"/>
      <c r="IX3260" s="74"/>
      <c r="IY3260" s="74"/>
      <c r="IZ3260" s="74"/>
      <c r="JA3260" s="74"/>
    </row>
    <row r="3261" spans="1:261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Q3261" s="74"/>
      <c r="R3261" s="74"/>
      <c r="S3261" s="74"/>
      <c r="T3261" s="74"/>
      <c r="U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  <c r="IW3261" s="74"/>
      <c r="IX3261" s="74"/>
      <c r="IY3261" s="74"/>
      <c r="IZ3261" s="74"/>
      <c r="JA3261" s="74"/>
    </row>
    <row r="3262" spans="1:261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Q3262" s="74"/>
      <c r="R3262" s="74"/>
      <c r="S3262" s="74"/>
      <c r="T3262" s="74"/>
      <c r="U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  <c r="IW3262" s="74"/>
      <c r="IX3262" s="74"/>
      <c r="IY3262" s="74"/>
      <c r="IZ3262" s="74"/>
      <c r="JA3262" s="74"/>
    </row>
    <row r="3263" spans="1:261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Q3263" s="74"/>
      <c r="R3263" s="74"/>
      <c r="S3263" s="74"/>
      <c r="T3263" s="74"/>
      <c r="U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  <c r="IW3263" s="74"/>
      <c r="IX3263" s="74"/>
      <c r="IY3263" s="74"/>
      <c r="IZ3263" s="74"/>
      <c r="JA3263" s="74"/>
    </row>
    <row r="3264" spans="1:261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Q3264" s="74"/>
      <c r="R3264" s="74"/>
      <c r="S3264" s="74"/>
      <c r="T3264" s="74"/>
      <c r="U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  <c r="IW3264" s="74"/>
      <c r="IX3264" s="74"/>
      <c r="IY3264" s="74"/>
      <c r="IZ3264" s="74"/>
      <c r="JA3264" s="74"/>
    </row>
    <row r="3265" spans="1:261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Q3265" s="74"/>
      <c r="R3265" s="74"/>
      <c r="S3265" s="74"/>
      <c r="T3265" s="74"/>
      <c r="U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  <c r="IW3265" s="74"/>
      <c r="IX3265" s="74"/>
      <c r="IY3265" s="74"/>
      <c r="IZ3265" s="74"/>
      <c r="JA3265" s="74"/>
    </row>
    <row r="3266" spans="1:261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Q3266" s="74"/>
      <c r="R3266" s="74"/>
      <c r="S3266" s="74"/>
      <c r="T3266" s="74"/>
      <c r="U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  <c r="IW3266" s="74"/>
      <c r="IX3266" s="74"/>
      <c r="IY3266" s="74"/>
      <c r="IZ3266" s="74"/>
      <c r="JA3266" s="74"/>
    </row>
    <row r="3267" spans="1:261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Q3267" s="74"/>
      <c r="R3267" s="74"/>
      <c r="S3267" s="74"/>
      <c r="T3267" s="74"/>
      <c r="U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  <c r="IW3267" s="74"/>
      <c r="IX3267" s="74"/>
      <c r="IY3267" s="74"/>
      <c r="IZ3267" s="74"/>
      <c r="JA3267" s="74"/>
    </row>
    <row r="3268" spans="1:261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Q3268" s="74"/>
      <c r="R3268" s="74"/>
      <c r="S3268" s="74"/>
      <c r="T3268" s="74"/>
      <c r="U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  <c r="IW3268" s="74"/>
      <c r="IX3268" s="74"/>
      <c r="IY3268" s="74"/>
      <c r="IZ3268" s="74"/>
      <c r="JA3268" s="74"/>
    </row>
    <row r="3269" spans="1:261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Q3269" s="74"/>
      <c r="R3269" s="74"/>
      <c r="S3269" s="74"/>
      <c r="T3269" s="74"/>
      <c r="U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  <c r="IW3269" s="74"/>
      <c r="IX3269" s="74"/>
      <c r="IY3269" s="74"/>
      <c r="IZ3269" s="74"/>
      <c r="JA3269" s="74"/>
    </row>
    <row r="3270" spans="1:261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Q3270" s="74"/>
      <c r="R3270" s="74"/>
      <c r="S3270" s="74"/>
      <c r="T3270" s="74"/>
      <c r="U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  <c r="IW3270" s="74"/>
      <c r="IX3270" s="74"/>
      <c r="IY3270" s="74"/>
      <c r="IZ3270" s="74"/>
      <c r="JA3270" s="74"/>
    </row>
    <row r="3271" spans="1:261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Q3271" s="74"/>
      <c r="R3271" s="74"/>
      <c r="S3271" s="74"/>
      <c r="T3271" s="74"/>
      <c r="U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  <c r="IW3271" s="74"/>
      <c r="IX3271" s="74"/>
      <c r="IY3271" s="74"/>
      <c r="IZ3271" s="74"/>
      <c r="JA3271" s="74"/>
    </row>
    <row r="3272" spans="1:261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Q3272" s="74"/>
      <c r="R3272" s="74"/>
      <c r="S3272" s="74"/>
      <c r="T3272" s="74"/>
      <c r="U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  <c r="IW3272" s="74"/>
      <c r="IX3272" s="74"/>
      <c r="IY3272" s="74"/>
      <c r="IZ3272" s="74"/>
      <c r="JA3272" s="74"/>
    </row>
    <row r="3273" spans="1:261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Q3273" s="74"/>
      <c r="R3273" s="74"/>
      <c r="S3273" s="74"/>
      <c r="T3273" s="74"/>
      <c r="U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  <c r="IW3273" s="74"/>
      <c r="IX3273" s="74"/>
      <c r="IY3273" s="74"/>
      <c r="IZ3273" s="74"/>
      <c r="JA3273" s="74"/>
    </row>
    <row r="3274" spans="1:261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Q3274" s="74"/>
      <c r="R3274" s="74"/>
      <c r="S3274" s="74"/>
      <c r="T3274" s="74"/>
      <c r="U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  <c r="IW3274" s="74"/>
      <c r="IX3274" s="74"/>
      <c r="IY3274" s="74"/>
      <c r="IZ3274" s="74"/>
      <c r="JA3274" s="74"/>
    </row>
    <row r="3275" spans="1:261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Q3275" s="74"/>
      <c r="R3275" s="74"/>
      <c r="S3275" s="74"/>
      <c r="T3275" s="74"/>
      <c r="U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  <c r="IW3275" s="74"/>
      <c r="IX3275" s="74"/>
      <c r="IY3275" s="74"/>
      <c r="IZ3275" s="74"/>
      <c r="JA3275" s="74"/>
    </row>
    <row r="3276" spans="1:261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Q3276" s="74"/>
      <c r="R3276" s="74"/>
      <c r="S3276" s="74"/>
      <c r="T3276" s="74"/>
      <c r="U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  <c r="IW3276" s="74"/>
      <c r="IX3276" s="74"/>
      <c r="IY3276" s="74"/>
      <c r="IZ3276" s="74"/>
      <c r="JA3276" s="74"/>
    </row>
    <row r="3277" spans="1:261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Q3277" s="74"/>
      <c r="R3277" s="74"/>
      <c r="S3277" s="74"/>
      <c r="T3277" s="74"/>
      <c r="U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  <c r="IW3277" s="74"/>
      <c r="IX3277" s="74"/>
      <c r="IY3277" s="74"/>
      <c r="IZ3277" s="74"/>
      <c r="JA3277" s="74"/>
    </row>
    <row r="3278" spans="1:261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Q3278" s="74"/>
      <c r="R3278" s="74"/>
      <c r="S3278" s="74"/>
      <c r="T3278" s="74"/>
      <c r="U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  <c r="IW3278" s="74"/>
      <c r="IX3278" s="74"/>
      <c r="IY3278" s="74"/>
      <c r="IZ3278" s="74"/>
      <c r="JA3278" s="74"/>
    </row>
    <row r="3279" spans="1:261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Q3279" s="74"/>
      <c r="R3279" s="74"/>
      <c r="S3279" s="74"/>
      <c r="T3279" s="74"/>
      <c r="U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  <c r="IW3279" s="74"/>
      <c r="IX3279" s="74"/>
      <c r="IY3279" s="74"/>
      <c r="IZ3279" s="74"/>
      <c r="JA3279" s="74"/>
    </row>
    <row r="3280" spans="1:261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Q3280" s="74"/>
      <c r="R3280" s="74"/>
      <c r="S3280" s="74"/>
      <c r="T3280" s="74"/>
      <c r="U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  <c r="IW3280" s="74"/>
      <c r="IX3280" s="74"/>
      <c r="IY3280" s="74"/>
      <c r="IZ3280" s="74"/>
      <c r="JA3280" s="74"/>
    </row>
    <row r="3281" spans="1:261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Q3281" s="74"/>
      <c r="R3281" s="74"/>
      <c r="S3281" s="74"/>
      <c r="T3281" s="74"/>
      <c r="U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  <c r="IW3281" s="74"/>
      <c r="IX3281" s="74"/>
      <c r="IY3281" s="74"/>
      <c r="IZ3281" s="74"/>
      <c r="JA3281" s="74"/>
    </row>
    <row r="3282" spans="1:261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Q3282" s="74"/>
      <c r="R3282" s="74"/>
      <c r="S3282" s="74"/>
      <c r="T3282" s="74"/>
      <c r="U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  <c r="IW3282" s="74"/>
      <c r="IX3282" s="74"/>
      <c r="IY3282" s="74"/>
      <c r="IZ3282" s="74"/>
      <c r="JA3282" s="74"/>
    </row>
    <row r="3283" spans="1:261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Q3283" s="74"/>
      <c r="R3283" s="74"/>
      <c r="S3283" s="74"/>
      <c r="T3283" s="74"/>
      <c r="U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  <c r="IW3283" s="74"/>
      <c r="IX3283" s="74"/>
      <c r="IY3283" s="74"/>
      <c r="IZ3283" s="74"/>
      <c r="JA3283" s="74"/>
    </row>
    <row r="3284" spans="1:261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Q3284" s="74"/>
      <c r="R3284" s="74"/>
      <c r="S3284" s="74"/>
      <c r="T3284" s="74"/>
      <c r="U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  <c r="IW3284" s="74"/>
      <c r="IX3284" s="74"/>
      <c r="IY3284" s="74"/>
      <c r="IZ3284" s="74"/>
      <c r="JA3284" s="74"/>
    </row>
    <row r="3285" spans="1:261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Q3285" s="74"/>
      <c r="R3285" s="74"/>
      <c r="S3285" s="74"/>
      <c r="T3285" s="74"/>
      <c r="U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  <c r="IW3285" s="74"/>
      <c r="IX3285" s="74"/>
      <c r="IY3285" s="74"/>
      <c r="IZ3285" s="74"/>
      <c r="JA3285" s="74"/>
    </row>
    <row r="3286" spans="1:261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Q3286" s="74"/>
      <c r="R3286" s="74"/>
      <c r="S3286" s="74"/>
      <c r="T3286" s="74"/>
      <c r="U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  <c r="IW3286" s="74"/>
      <c r="IX3286" s="74"/>
      <c r="IY3286" s="74"/>
      <c r="IZ3286" s="74"/>
      <c r="JA3286" s="74"/>
    </row>
    <row r="3287" spans="1:261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Q3287" s="74"/>
      <c r="R3287" s="74"/>
      <c r="S3287" s="74"/>
      <c r="T3287" s="74"/>
      <c r="U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  <c r="IW3287" s="74"/>
      <c r="IX3287" s="74"/>
      <c r="IY3287" s="74"/>
      <c r="IZ3287" s="74"/>
      <c r="JA3287" s="74"/>
    </row>
    <row r="3288" spans="1:261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Q3288" s="74"/>
      <c r="R3288" s="74"/>
      <c r="S3288" s="74"/>
      <c r="T3288" s="74"/>
      <c r="U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  <c r="IW3288" s="74"/>
      <c r="IX3288" s="74"/>
      <c r="IY3288" s="74"/>
      <c r="IZ3288" s="74"/>
      <c r="JA3288" s="74"/>
    </row>
    <row r="3289" spans="1:261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Q3289" s="74"/>
      <c r="R3289" s="74"/>
      <c r="S3289" s="74"/>
      <c r="T3289" s="74"/>
      <c r="U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  <c r="IW3289" s="74"/>
      <c r="IX3289" s="74"/>
      <c r="IY3289" s="74"/>
      <c r="IZ3289" s="74"/>
      <c r="JA3289" s="74"/>
    </row>
    <row r="3290" spans="1:261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Q3290" s="74"/>
      <c r="R3290" s="74"/>
      <c r="S3290" s="74"/>
      <c r="T3290" s="74"/>
      <c r="U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  <c r="IW3290" s="74"/>
      <c r="IX3290" s="74"/>
      <c r="IY3290" s="74"/>
      <c r="IZ3290" s="74"/>
      <c r="JA3290" s="74"/>
    </row>
    <row r="3291" spans="1:261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Q3291" s="74"/>
      <c r="R3291" s="74"/>
      <c r="S3291" s="74"/>
      <c r="T3291" s="74"/>
      <c r="U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  <c r="IW3291" s="74"/>
      <c r="IX3291" s="74"/>
      <c r="IY3291" s="74"/>
      <c r="IZ3291" s="74"/>
      <c r="JA3291" s="74"/>
    </row>
    <row r="3292" spans="1:261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Q3292" s="74"/>
      <c r="R3292" s="74"/>
      <c r="S3292" s="74"/>
      <c r="T3292" s="74"/>
      <c r="U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  <c r="IW3292" s="74"/>
      <c r="IX3292" s="74"/>
      <c r="IY3292" s="74"/>
      <c r="IZ3292" s="74"/>
      <c r="JA3292" s="74"/>
    </row>
    <row r="3293" spans="1:261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Q3293" s="74"/>
      <c r="R3293" s="74"/>
      <c r="S3293" s="74"/>
      <c r="T3293" s="74"/>
      <c r="U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  <c r="IW3293" s="74"/>
      <c r="IX3293" s="74"/>
      <c r="IY3293" s="74"/>
      <c r="IZ3293" s="74"/>
      <c r="JA3293" s="74"/>
    </row>
    <row r="3294" spans="1:261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Q3294" s="74"/>
      <c r="R3294" s="74"/>
      <c r="S3294" s="74"/>
      <c r="T3294" s="74"/>
      <c r="U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  <c r="IW3294" s="74"/>
      <c r="IX3294" s="74"/>
      <c r="IY3294" s="74"/>
      <c r="IZ3294" s="74"/>
      <c r="JA3294" s="74"/>
    </row>
    <row r="3295" spans="1:261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Q3295" s="74"/>
      <c r="R3295" s="74"/>
      <c r="S3295" s="74"/>
      <c r="T3295" s="74"/>
      <c r="U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  <c r="IW3295" s="74"/>
      <c r="IX3295" s="74"/>
      <c r="IY3295" s="74"/>
      <c r="IZ3295" s="74"/>
      <c r="JA3295" s="74"/>
    </row>
    <row r="3296" spans="1:261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Q3296" s="74"/>
      <c r="R3296" s="74"/>
      <c r="S3296" s="74"/>
      <c r="T3296" s="74"/>
      <c r="U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  <c r="IW3296" s="74"/>
      <c r="IX3296" s="74"/>
      <c r="IY3296" s="74"/>
      <c r="IZ3296" s="74"/>
      <c r="JA3296" s="74"/>
    </row>
    <row r="3297" spans="1:261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Q3297" s="74"/>
      <c r="R3297" s="74"/>
      <c r="S3297" s="74"/>
      <c r="T3297" s="74"/>
      <c r="U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  <c r="IW3297" s="74"/>
      <c r="IX3297" s="74"/>
      <c r="IY3297" s="74"/>
      <c r="IZ3297" s="74"/>
      <c r="JA3297" s="74"/>
    </row>
    <row r="3298" spans="1:261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Q3298" s="74"/>
      <c r="R3298" s="74"/>
      <c r="S3298" s="74"/>
      <c r="T3298" s="74"/>
      <c r="U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  <c r="IW3298" s="74"/>
      <c r="IX3298" s="74"/>
      <c r="IY3298" s="74"/>
      <c r="IZ3298" s="74"/>
      <c r="JA3298" s="74"/>
    </row>
    <row r="3299" spans="1:261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Q3299" s="74"/>
      <c r="R3299" s="74"/>
      <c r="S3299" s="74"/>
      <c r="T3299" s="74"/>
      <c r="U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  <c r="IW3299" s="74"/>
      <c r="IX3299" s="74"/>
      <c r="IY3299" s="74"/>
      <c r="IZ3299" s="74"/>
      <c r="JA3299" s="74"/>
    </row>
    <row r="3300" spans="1:261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Q3300" s="74"/>
      <c r="R3300" s="74"/>
      <c r="S3300" s="74"/>
      <c r="T3300" s="74"/>
      <c r="U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  <c r="IW3300" s="74"/>
      <c r="IX3300" s="74"/>
      <c r="IY3300" s="74"/>
      <c r="IZ3300" s="74"/>
      <c r="JA3300" s="74"/>
    </row>
    <row r="3301" spans="1:261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Q3301" s="74"/>
      <c r="R3301" s="74"/>
      <c r="S3301" s="74"/>
      <c r="T3301" s="74"/>
      <c r="U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  <c r="IW3301" s="74"/>
      <c r="IX3301" s="74"/>
      <c r="IY3301" s="74"/>
      <c r="IZ3301" s="74"/>
      <c r="JA3301" s="74"/>
    </row>
    <row r="3302" spans="1:261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Q3302" s="74"/>
      <c r="R3302" s="74"/>
      <c r="S3302" s="74"/>
      <c r="T3302" s="74"/>
      <c r="U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  <c r="IW3302" s="74"/>
      <c r="IX3302" s="74"/>
      <c r="IY3302" s="74"/>
      <c r="IZ3302" s="74"/>
      <c r="JA3302" s="74"/>
    </row>
    <row r="3303" spans="1:261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Q3303" s="74"/>
      <c r="R3303" s="74"/>
      <c r="S3303" s="74"/>
      <c r="T3303" s="74"/>
      <c r="U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  <c r="IW3303" s="74"/>
      <c r="IX3303" s="74"/>
      <c r="IY3303" s="74"/>
      <c r="IZ3303" s="74"/>
      <c r="JA3303" s="74"/>
    </row>
    <row r="3304" spans="1:261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Q3304" s="74"/>
      <c r="R3304" s="74"/>
      <c r="S3304" s="74"/>
      <c r="T3304" s="74"/>
      <c r="U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  <c r="IW3304" s="74"/>
      <c r="IX3304" s="74"/>
      <c r="IY3304" s="74"/>
      <c r="IZ3304" s="74"/>
      <c r="JA3304" s="74"/>
    </row>
    <row r="3305" spans="1:261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Q3305" s="74"/>
      <c r="R3305" s="74"/>
      <c r="S3305" s="74"/>
      <c r="T3305" s="74"/>
      <c r="U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  <c r="IW3305" s="74"/>
      <c r="IX3305" s="74"/>
      <c r="IY3305" s="74"/>
      <c r="IZ3305" s="74"/>
      <c r="JA3305" s="74"/>
    </row>
    <row r="3306" spans="1:261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Q3306" s="74"/>
      <c r="R3306" s="74"/>
      <c r="S3306" s="74"/>
      <c r="T3306" s="74"/>
      <c r="U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  <c r="IW3306" s="74"/>
      <c r="IX3306" s="74"/>
      <c r="IY3306" s="74"/>
      <c r="IZ3306" s="74"/>
      <c r="JA3306" s="74"/>
    </row>
    <row r="3307" spans="1:261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Q3307" s="74"/>
      <c r="R3307" s="74"/>
      <c r="S3307" s="74"/>
      <c r="T3307" s="74"/>
      <c r="U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  <c r="IW3307" s="74"/>
      <c r="IX3307" s="74"/>
      <c r="IY3307" s="74"/>
      <c r="IZ3307" s="74"/>
      <c r="JA3307" s="74"/>
    </row>
    <row r="3308" spans="1:261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Q3308" s="74"/>
      <c r="R3308" s="74"/>
      <c r="S3308" s="74"/>
      <c r="T3308" s="74"/>
      <c r="U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  <c r="IW3308" s="74"/>
      <c r="IX3308" s="74"/>
      <c r="IY3308" s="74"/>
      <c r="IZ3308" s="74"/>
      <c r="JA3308" s="74"/>
    </row>
    <row r="3309" spans="1:261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Q3309" s="74"/>
      <c r="R3309" s="74"/>
      <c r="S3309" s="74"/>
      <c r="T3309" s="74"/>
      <c r="U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  <c r="IW3309" s="74"/>
      <c r="IX3309" s="74"/>
      <c r="IY3309" s="74"/>
      <c r="IZ3309" s="74"/>
      <c r="JA3309" s="74"/>
    </row>
    <row r="3310" spans="1:261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Q3310" s="74"/>
      <c r="R3310" s="74"/>
      <c r="S3310" s="74"/>
      <c r="T3310" s="74"/>
      <c r="U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  <c r="IW3310" s="74"/>
      <c r="IX3310" s="74"/>
      <c r="IY3310" s="74"/>
      <c r="IZ3310" s="74"/>
      <c r="JA3310" s="74"/>
    </row>
    <row r="3311" spans="1:261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Q3311" s="74"/>
      <c r="R3311" s="74"/>
      <c r="S3311" s="74"/>
      <c r="T3311" s="74"/>
      <c r="U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  <c r="IW3311" s="74"/>
      <c r="IX3311" s="74"/>
      <c r="IY3311" s="74"/>
      <c r="IZ3311" s="74"/>
      <c r="JA3311" s="74"/>
    </row>
    <row r="3312" spans="1:261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Q3312" s="74"/>
      <c r="R3312" s="74"/>
      <c r="S3312" s="74"/>
      <c r="T3312" s="74"/>
      <c r="U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  <c r="IW3312" s="74"/>
      <c r="IX3312" s="74"/>
      <c r="IY3312" s="74"/>
      <c r="IZ3312" s="74"/>
      <c r="JA3312" s="74"/>
    </row>
    <row r="3313" spans="1:261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Q3313" s="74"/>
      <c r="R3313" s="74"/>
      <c r="S3313" s="74"/>
      <c r="T3313" s="74"/>
      <c r="U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  <c r="IW3313" s="74"/>
      <c r="IX3313" s="74"/>
      <c r="IY3313" s="74"/>
      <c r="IZ3313" s="74"/>
      <c r="JA3313" s="74"/>
    </row>
    <row r="3314" spans="1:261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Q3314" s="74"/>
      <c r="R3314" s="74"/>
      <c r="S3314" s="74"/>
      <c r="T3314" s="74"/>
      <c r="U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  <c r="IW3314" s="74"/>
      <c r="IX3314" s="74"/>
      <c r="IY3314" s="74"/>
      <c r="IZ3314" s="74"/>
      <c r="JA3314" s="74"/>
    </row>
    <row r="3315" spans="1:261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Q3315" s="74"/>
      <c r="R3315" s="74"/>
      <c r="S3315" s="74"/>
      <c r="T3315" s="74"/>
      <c r="U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  <c r="IW3315" s="74"/>
      <c r="IX3315" s="74"/>
      <c r="IY3315" s="74"/>
      <c r="IZ3315" s="74"/>
      <c r="JA3315" s="74"/>
    </row>
    <row r="3316" spans="1:261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Q3316" s="74"/>
      <c r="R3316" s="74"/>
      <c r="S3316" s="74"/>
      <c r="T3316" s="74"/>
      <c r="U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  <c r="IW3316" s="74"/>
      <c r="IX3316" s="74"/>
      <c r="IY3316" s="74"/>
      <c r="IZ3316" s="74"/>
      <c r="JA3316" s="74"/>
    </row>
    <row r="3317" spans="1:261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Q3317" s="74"/>
      <c r="R3317" s="74"/>
      <c r="S3317" s="74"/>
      <c r="T3317" s="74"/>
      <c r="U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  <c r="IW3317" s="74"/>
      <c r="IX3317" s="74"/>
      <c r="IY3317" s="74"/>
      <c r="IZ3317" s="74"/>
      <c r="JA3317" s="74"/>
    </row>
    <row r="3318" spans="1:261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Q3318" s="74"/>
      <c r="R3318" s="74"/>
      <c r="S3318" s="74"/>
      <c r="T3318" s="74"/>
      <c r="U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  <c r="IW3318" s="74"/>
      <c r="IX3318" s="74"/>
      <c r="IY3318" s="74"/>
      <c r="IZ3318" s="74"/>
      <c r="JA3318" s="74"/>
    </row>
    <row r="3319" spans="1:261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Q3319" s="74"/>
      <c r="R3319" s="74"/>
      <c r="S3319" s="74"/>
      <c r="T3319" s="74"/>
      <c r="U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  <c r="IW3319" s="74"/>
      <c r="IX3319" s="74"/>
      <c r="IY3319" s="74"/>
      <c r="IZ3319" s="74"/>
      <c r="JA3319" s="74"/>
    </row>
    <row r="3320" spans="1:261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Q3320" s="74"/>
      <c r="R3320" s="74"/>
      <c r="S3320" s="74"/>
      <c r="T3320" s="74"/>
      <c r="U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  <c r="IW3320" s="74"/>
      <c r="IX3320" s="74"/>
      <c r="IY3320" s="74"/>
      <c r="IZ3320" s="74"/>
      <c r="JA3320" s="74"/>
    </row>
    <row r="3321" spans="1:261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Q3321" s="74"/>
      <c r="R3321" s="74"/>
      <c r="S3321" s="74"/>
      <c r="T3321" s="74"/>
      <c r="U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  <c r="IW3321" s="74"/>
      <c r="IX3321" s="74"/>
      <c r="IY3321" s="74"/>
      <c r="IZ3321" s="74"/>
      <c r="JA3321" s="74"/>
    </row>
    <row r="3322" spans="1:261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Q3322" s="74"/>
      <c r="R3322" s="74"/>
      <c r="S3322" s="74"/>
      <c r="T3322" s="74"/>
      <c r="U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  <c r="IW3322" s="74"/>
      <c r="IX3322" s="74"/>
      <c r="IY3322" s="74"/>
      <c r="IZ3322" s="74"/>
      <c r="JA3322" s="74"/>
    </row>
    <row r="3323" spans="1:261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Q3323" s="74"/>
      <c r="R3323" s="74"/>
      <c r="S3323" s="74"/>
      <c r="T3323" s="74"/>
      <c r="U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  <c r="IW3323" s="74"/>
      <c r="IX3323" s="74"/>
      <c r="IY3323" s="74"/>
      <c r="IZ3323" s="74"/>
      <c r="JA3323" s="74"/>
    </row>
    <row r="3324" spans="1:261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Q3324" s="74"/>
      <c r="R3324" s="74"/>
      <c r="S3324" s="74"/>
      <c r="T3324" s="74"/>
      <c r="U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  <c r="IW3324" s="74"/>
      <c r="IX3324" s="74"/>
      <c r="IY3324" s="74"/>
      <c r="IZ3324" s="74"/>
      <c r="JA3324" s="74"/>
    </row>
    <row r="3325" spans="1:261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Q3325" s="74"/>
      <c r="R3325" s="74"/>
      <c r="S3325" s="74"/>
      <c r="T3325" s="74"/>
      <c r="U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  <c r="IW3325" s="74"/>
      <c r="IX3325" s="74"/>
      <c r="IY3325" s="74"/>
      <c r="IZ3325" s="74"/>
      <c r="JA3325" s="74"/>
    </row>
    <row r="3326" spans="1:261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Q3326" s="74"/>
      <c r="R3326" s="74"/>
      <c r="S3326" s="74"/>
      <c r="T3326" s="74"/>
      <c r="U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  <c r="IW3326" s="74"/>
      <c r="IX3326" s="74"/>
      <c r="IY3326" s="74"/>
      <c r="IZ3326" s="74"/>
      <c r="JA3326" s="74"/>
    </row>
    <row r="3327" spans="1:261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Q3327" s="74"/>
      <c r="R3327" s="74"/>
      <c r="S3327" s="74"/>
      <c r="T3327" s="74"/>
      <c r="U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  <c r="IW3327" s="74"/>
      <c r="IX3327" s="74"/>
      <c r="IY3327" s="74"/>
      <c r="IZ3327" s="74"/>
      <c r="JA3327" s="74"/>
    </row>
    <row r="3328" spans="1:261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Q3328" s="74"/>
      <c r="R3328" s="74"/>
      <c r="S3328" s="74"/>
      <c r="T3328" s="74"/>
      <c r="U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  <c r="IW3328" s="74"/>
      <c r="IX3328" s="74"/>
      <c r="IY3328" s="74"/>
      <c r="IZ3328" s="74"/>
      <c r="JA3328" s="74"/>
    </row>
    <row r="3329" spans="1:261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Q3329" s="74"/>
      <c r="R3329" s="74"/>
      <c r="S3329" s="74"/>
      <c r="T3329" s="74"/>
      <c r="U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  <c r="IW3329" s="74"/>
      <c r="IX3329" s="74"/>
      <c r="IY3329" s="74"/>
      <c r="IZ3329" s="74"/>
      <c r="JA3329" s="74"/>
    </row>
    <row r="3330" spans="1:261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Q3330" s="74"/>
      <c r="R3330" s="74"/>
      <c r="S3330" s="74"/>
      <c r="T3330" s="74"/>
      <c r="U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  <c r="IW3330" s="74"/>
      <c r="IX3330" s="74"/>
      <c r="IY3330" s="74"/>
      <c r="IZ3330" s="74"/>
      <c r="JA3330" s="74"/>
    </row>
    <row r="3331" spans="1:261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Q3331" s="74"/>
      <c r="R3331" s="74"/>
      <c r="S3331" s="74"/>
      <c r="T3331" s="74"/>
      <c r="U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  <c r="IW3331" s="74"/>
      <c r="IX3331" s="74"/>
      <c r="IY3331" s="74"/>
      <c r="IZ3331" s="74"/>
      <c r="JA3331" s="74"/>
    </row>
    <row r="3332" spans="1:261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Q3332" s="74"/>
      <c r="R3332" s="74"/>
      <c r="S3332" s="74"/>
      <c r="T3332" s="74"/>
      <c r="U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  <c r="IW3332" s="74"/>
      <c r="IX3332" s="74"/>
      <c r="IY3332" s="74"/>
      <c r="IZ3332" s="74"/>
      <c r="JA3332" s="74"/>
    </row>
    <row r="3333" spans="1:261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Q3333" s="74"/>
      <c r="R3333" s="74"/>
      <c r="S3333" s="74"/>
      <c r="T3333" s="74"/>
      <c r="U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  <c r="IW3333" s="74"/>
      <c r="IX3333" s="74"/>
      <c r="IY3333" s="74"/>
      <c r="IZ3333" s="74"/>
      <c r="JA3333" s="74"/>
    </row>
    <row r="3334" spans="1:261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Q3334" s="74"/>
      <c r="R3334" s="74"/>
      <c r="S3334" s="74"/>
      <c r="T3334" s="74"/>
      <c r="U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  <c r="IW3334" s="74"/>
      <c r="IX3334" s="74"/>
      <c r="IY3334" s="74"/>
      <c r="IZ3334" s="74"/>
      <c r="JA3334" s="74"/>
    </row>
    <row r="3335" spans="1:261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Q3335" s="74"/>
      <c r="R3335" s="74"/>
      <c r="S3335" s="74"/>
      <c r="T3335" s="74"/>
      <c r="U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  <c r="IW3335" s="74"/>
      <c r="IX3335" s="74"/>
      <c r="IY3335" s="74"/>
      <c r="IZ3335" s="74"/>
      <c r="JA3335" s="74"/>
    </row>
    <row r="3336" spans="1:261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Q3336" s="74"/>
      <c r="R3336" s="74"/>
      <c r="S3336" s="74"/>
      <c r="T3336" s="74"/>
      <c r="U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  <c r="IW3336" s="74"/>
      <c r="IX3336" s="74"/>
      <c r="IY3336" s="74"/>
      <c r="IZ3336" s="74"/>
      <c r="JA3336" s="74"/>
    </row>
    <row r="3337" spans="1:261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Q3337" s="74"/>
      <c r="R3337" s="74"/>
      <c r="S3337" s="74"/>
      <c r="T3337" s="74"/>
      <c r="U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  <c r="IW3337" s="74"/>
      <c r="IX3337" s="74"/>
      <c r="IY3337" s="74"/>
      <c r="IZ3337" s="74"/>
      <c r="JA3337" s="74"/>
    </row>
    <row r="3338" spans="1:261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Q3338" s="74"/>
      <c r="R3338" s="74"/>
      <c r="S3338" s="74"/>
      <c r="T3338" s="74"/>
      <c r="U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  <c r="IW3338" s="74"/>
      <c r="IX3338" s="74"/>
      <c r="IY3338" s="74"/>
      <c r="IZ3338" s="74"/>
      <c r="JA3338" s="74"/>
    </row>
    <row r="3339" spans="1:261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Q3339" s="74"/>
      <c r="R3339" s="74"/>
      <c r="S3339" s="74"/>
      <c r="T3339" s="74"/>
      <c r="U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  <c r="IW3339" s="74"/>
      <c r="IX3339" s="74"/>
      <c r="IY3339" s="74"/>
      <c r="IZ3339" s="74"/>
      <c r="JA3339" s="74"/>
    </row>
    <row r="3340" spans="1:261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Q3340" s="74"/>
      <c r="R3340" s="74"/>
      <c r="S3340" s="74"/>
      <c r="T3340" s="74"/>
      <c r="U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  <c r="IW3340" s="74"/>
      <c r="IX3340" s="74"/>
      <c r="IY3340" s="74"/>
      <c r="IZ3340" s="74"/>
      <c r="JA3340" s="74"/>
    </row>
    <row r="3341" spans="1:261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Q3341" s="74"/>
      <c r="R3341" s="74"/>
      <c r="S3341" s="74"/>
      <c r="T3341" s="74"/>
      <c r="U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  <c r="IW3341" s="74"/>
      <c r="IX3341" s="74"/>
      <c r="IY3341" s="74"/>
      <c r="IZ3341" s="74"/>
      <c r="JA3341" s="74"/>
    </row>
    <row r="3342" spans="1:261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Q3342" s="74"/>
      <c r="R3342" s="74"/>
      <c r="S3342" s="74"/>
      <c r="T3342" s="74"/>
      <c r="U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  <c r="IW3342" s="74"/>
      <c r="IX3342" s="74"/>
      <c r="IY3342" s="74"/>
      <c r="IZ3342" s="74"/>
      <c r="JA3342" s="74"/>
    </row>
    <row r="3343" spans="1:261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Q3343" s="74"/>
      <c r="R3343" s="74"/>
      <c r="S3343" s="74"/>
      <c r="T3343" s="74"/>
      <c r="U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  <c r="IW3343" s="74"/>
      <c r="IX3343" s="74"/>
      <c r="IY3343" s="74"/>
      <c r="IZ3343" s="74"/>
      <c r="JA3343" s="74"/>
    </row>
    <row r="3344" spans="1:261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Q3344" s="74"/>
      <c r="R3344" s="74"/>
      <c r="S3344" s="74"/>
      <c r="T3344" s="74"/>
      <c r="U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  <c r="IW3344" s="74"/>
      <c r="IX3344" s="74"/>
      <c r="IY3344" s="74"/>
      <c r="IZ3344" s="74"/>
      <c r="JA3344" s="74"/>
    </row>
    <row r="3345" spans="1:261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Q3345" s="74"/>
      <c r="R3345" s="74"/>
      <c r="S3345" s="74"/>
      <c r="T3345" s="74"/>
      <c r="U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  <c r="IW3345" s="74"/>
      <c r="IX3345" s="74"/>
      <c r="IY3345" s="74"/>
      <c r="IZ3345" s="74"/>
      <c r="JA3345" s="74"/>
    </row>
    <row r="3346" spans="1:261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Q3346" s="74"/>
      <c r="R3346" s="74"/>
      <c r="S3346" s="74"/>
      <c r="T3346" s="74"/>
      <c r="U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  <c r="IW3346" s="74"/>
      <c r="IX3346" s="74"/>
      <c r="IY3346" s="74"/>
      <c r="IZ3346" s="74"/>
      <c r="JA3346" s="74"/>
    </row>
    <row r="3347" spans="1:261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Q3347" s="74"/>
      <c r="R3347" s="74"/>
      <c r="S3347" s="74"/>
      <c r="T3347" s="74"/>
      <c r="U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  <c r="IW3347" s="74"/>
      <c r="IX3347" s="74"/>
      <c r="IY3347" s="74"/>
      <c r="IZ3347" s="74"/>
      <c r="JA3347" s="74"/>
    </row>
    <row r="3348" spans="1:261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Q3348" s="74"/>
      <c r="R3348" s="74"/>
      <c r="S3348" s="74"/>
      <c r="T3348" s="74"/>
      <c r="U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  <c r="IW3348" s="74"/>
      <c r="IX3348" s="74"/>
      <c r="IY3348" s="74"/>
      <c r="IZ3348" s="74"/>
      <c r="JA3348" s="74"/>
    </row>
    <row r="3349" spans="1:261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Q3349" s="74"/>
      <c r="R3349" s="74"/>
      <c r="S3349" s="74"/>
      <c r="T3349" s="74"/>
      <c r="U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  <c r="IW3349" s="74"/>
      <c r="IX3349" s="74"/>
      <c r="IY3349" s="74"/>
      <c r="IZ3349" s="74"/>
      <c r="JA3349" s="74"/>
    </row>
    <row r="3350" spans="1:261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Q3350" s="74"/>
      <c r="R3350" s="74"/>
      <c r="S3350" s="74"/>
      <c r="T3350" s="74"/>
      <c r="U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  <c r="IW3350" s="74"/>
      <c r="IX3350" s="74"/>
      <c r="IY3350" s="74"/>
      <c r="IZ3350" s="74"/>
      <c r="JA3350" s="74"/>
    </row>
    <row r="3351" spans="1:261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Q3351" s="74"/>
      <c r="R3351" s="74"/>
      <c r="S3351" s="74"/>
      <c r="T3351" s="74"/>
      <c r="U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  <c r="IW3351" s="74"/>
      <c r="IX3351" s="74"/>
      <c r="IY3351" s="74"/>
      <c r="IZ3351" s="74"/>
      <c r="JA3351" s="74"/>
    </row>
    <row r="3352" spans="1:261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Q3352" s="74"/>
      <c r="R3352" s="74"/>
      <c r="S3352" s="74"/>
      <c r="T3352" s="74"/>
      <c r="U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  <c r="IW3352" s="74"/>
      <c r="IX3352" s="74"/>
      <c r="IY3352" s="74"/>
      <c r="IZ3352" s="74"/>
      <c r="JA3352" s="74"/>
    </row>
    <row r="3353" spans="1:261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Q3353" s="74"/>
      <c r="R3353" s="74"/>
      <c r="S3353" s="74"/>
      <c r="T3353" s="74"/>
      <c r="U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  <c r="IW3353" s="74"/>
      <c r="IX3353" s="74"/>
      <c r="IY3353" s="74"/>
      <c r="IZ3353" s="74"/>
      <c r="JA3353" s="74"/>
    </row>
    <row r="3354" spans="1:261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Q3354" s="74"/>
      <c r="R3354" s="74"/>
      <c r="S3354" s="74"/>
      <c r="T3354" s="74"/>
      <c r="U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  <c r="IW3354" s="74"/>
      <c r="IX3354" s="74"/>
      <c r="IY3354" s="74"/>
      <c r="IZ3354" s="74"/>
      <c r="JA3354" s="74"/>
    </row>
    <row r="3355" spans="1:261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Q3355" s="74"/>
      <c r="R3355" s="74"/>
      <c r="S3355" s="74"/>
      <c r="T3355" s="74"/>
      <c r="U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  <c r="IW3355" s="74"/>
      <c r="IX3355" s="74"/>
      <c r="IY3355" s="74"/>
      <c r="IZ3355" s="74"/>
      <c r="JA3355" s="74"/>
    </row>
    <row r="3356" spans="1:261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Q3356" s="74"/>
      <c r="R3356" s="74"/>
      <c r="S3356" s="74"/>
      <c r="T3356" s="74"/>
      <c r="U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  <c r="IW3356" s="74"/>
      <c r="IX3356" s="74"/>
      <c r="IY3356" s="74"/>
      <c r="IZ3356" s="74"/>
      <c r="JA3356" s="74"/>
    </row>
    <row r="3357" spans="1:261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Q3357" s="74"/>
      <c r="R3357" s="74"/>
      <c r="S3357" s="74"/>
      <c r="T3357" s="74"/>
      <c r="U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  <c r="IW3357" s="74"/>
      <c r="IX3357" s="74"/>
      <c r="IY3357" s="74"/>
      <c r="IZ3357" s="74"/>
      <c r="JA3357" s="74"/>
    </row>
    <row r="3358" spans="1:261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Q3358" s="74"/>
      <c r="R3358" s="74"/>
      <c r="S3358" s="74"/>
      <c r="T3358" s="74"/>
      <c r="U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  <c r="IW3358" s="74"/>
      <c r="IX3358" s="74"/>
      <c r="IY3358" s="74"/>
      <c r="IZ3358" s="74"/>
      <c r="JA3358" s="74"/>
    </row>
    <row r="3359" spans="1:261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Q3359" s="74"/>
      <c r="R3359" s="74"/>
      <c r="S3359" s="74"/>
      <c r="T3359" s="74"/>
      <c r="U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  <c r="IW3359" s="74"/>
      <c r="IX3359" s="74"/>
      <c r="IY3359" s="74"/>
      <c r="IZ3359" s="74"/>
      <c r="JA3359" s="74"/>
    </row>
    <row r="3360" spans="1:261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Q3360" s="74"/>
      <c r="R3360" s="74"/>
      <c r="S3360" s="74"/>
      <c r="T3360" s="74"/>
      <c r="U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  <c r="IW3360" s="74"/>
      <c r="IX3360" s="74"/>
      <c r="IY3360" s="74"/>
      <c r="IZ3360" s="74"/>
      <c r="JA3360" s="74"/>
    </row>
    <row r="3361" spans="1:261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Q3361" s="74"/>
      <c r="R3361" s="74"/>
      <c r="S3361" s="74"/>
      <c r="T3361" s="74"/>
      <c r="U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  <c r="IW3361" s="74"/>
      <c r="IX3361" s="74"/>
      <c r="IY3361" s="74"/>
      <c r="IZ3361" s="74"/>
      <c r="JA3361" s="74"/>
    </row>
    <row r="3362" spans="1:261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Q3362" s="74"/>
      <c r="R3362" s="74"/>
      <c r="S3362" s="74"/>
      <c r="T3362" s="74"/>
      <c r="U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  <c r="IW3362" s="74"/>
      <c r="IX3362" s="74"/>
      <c r="IY3362" s="74"/>
      <c r="IZ3362" s="74"/>
      <c r="JA3362" s="74"/>
    </row>
    <row r="3363" spans="1:261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Q3363" s="74"/>
      <c r="R3363" s="74"/>
      <c r="S3363" s="74"/>
      <c r="T3363" s="74"/>
      <c r="U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  <c r="IW3363" s="74"/>
      <c r="IX3363" s="74"/>
      <c r="IY3363" s="74"/>
      <c r="IZ3363" s="74"/>
      <c r="JA3363" s="74"/>
    </row>
    <row r="3364" spans="1:261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Q3364" s="74"/>
      <c r="R3364" s="74"/>
      <c r="S3364" s="74"/>
      <c r="T3364" s="74"/>
      <c r="U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  <c r="IW3364" s="74"/>
      <c r="IX3364" s="74"/>
      <c r="IY3364" s="74"/>
      <c r="IZ3364" s="74"/>
      <c r="JA3364" s="74"/>
    </row>
    <row r="3365" spans="1:261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Q3365" s="74"/>
      <c r="R3365" s="74"/>
      <c r="S3365" s="74"/>
      <c r="T3365" s="74"/>
      <c r="U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  <c r="IW3365" s="74"/>
      <c r="IX3365" s="74"/>
      <c r="IY3365" s="74"/>
      <c r="IZ3365" s="74"/>
      <c r="JA3365" s="74"/>
    </row>
    <row r="3366" spans="1:261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Q3366" s="74"/>
      <c r="R3366" s="74"/>
      <c r="S3366" s="74"/>
      <c r="T3366" s="74"/>
      <c r="U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  <c r="IW3366" s="74"/>
      <c r="IX3366" s="74"/>
      <c r="IY3366" s="74"/>
      <c r="IZ3366" s="74"/>
      <c r="JA3366" s="74"/>
    </row>
    <row r="3367" spans="1:261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Q3367" s="74"/>
      <c r="R3367" s="74"/>
      <c r="S3367" s="74"/>
      <c r="T3367" s="74"/>
      <c r="U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  <c r="IW3367" s="74"/>
      <c r="IX3367" s="74"/>
      <c r="IY3367" s="74"/>
      <c r="IZ3367" s="74"/>
      <c r="JA3367" s="74"/>
    </row>
    <row r="3368" spans="1:261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Q3368" s="74"/>
      <c r="R3368" s="74"/>
      <c r="S3368" s="74"/>
      <c r="T3368" s="74"/>
      <c r="U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  <c r="IW3368" s="74"/>
      <c r="IX3368" s="74"/>
      <c r="IY3368" s="74"/>
      <c r="IZ3368" s="74"/>
      <c r="JA3368" s="74"/>
    </row>
    <row r="3369" spans="1:261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Q3369" s="74"/>
      <c r="R3369" s="74"/>
      <c r="S3369" s="74"/>
      <c r="T3369" s="74"/>
      <c r="U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  <c r="IW3369" s="74"/>
      <c r="IX3369" s="74"/>
      <c r="IY3369" s="74"/>
      <c r="IZ3369" s="74"/>
      <c r="JA3369" s="74"/>
    </row>
    <row r="3370" spans="1:261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Q3370" s="74"/>
      <c r="R3370" s="74"/>
      <c r="S3370" s="74"/>
      <c r="T3370" s="74"/>
      <c r="U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  <c r="IW3370" s="74"/>
      <c r="IX3370" s="74"/>
      <c r="IY3370" s="74"/>
      <c r="IZ3370" s="74"/>
      <c r="JA3370" s="74"/>
    </row>
    <row r="3371" spans="1:261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Q3371" s="74"/>
      <c r="R3371" s="74"/>
      <c r="S3371" s="74"/>
      <c r="T3371" s="74"/>
      <c r="U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  <c r="IW3371" s="74"/>
      <c r="IX3371" s="74"/>
      <c r="IY3371" s="74"/>
      <c r="IZ3371" s="74"/>
      <c r="JA3371" s="74"/>
    </row>
    <row r="3372" spans="1:261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Q3372" s="74"/>
      <c r="R3372" s="74"/>
      <c r="S3372" s="74"/>
      <c r="T3372" s="74"/>
      <c r="U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  <c r="IW3372" s="74"/>
      <c r="IX3372" s="74"/>
      <c r="IY3372" s="74"/>
      <c r="IZ3372" s="74"/>
      <c r="JA3372" s="74"/>
    </row>
    <row r="3373" spans="1:261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Q3373" s="74"/>
      <c r="R3373" s="74"/>
      <c r="S3373" s="74"/>
      <c r="T3373" s="74"/>
      <c r="U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  <c r="IW3373" s="74"/>
      <c r="IX3373" s="74"/>
      <c r="IY3373" s="74"/>
      <c r="IZ3373" s="74"/>
      <c r="JA3373" s="74"/>
    </row>
    <row r="3374" spans="1:261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Q3374" s="74"/>
      <c r="R3374" s="74"/>
      <c r="S3374" s="74"/>
      <c r="T3374" s="74"/>
      <c r="U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  <c r="IW3374" s="74"/>
      <c r="IX3374" s="74"/>
      <c r="IY3374" s="74"/>
      <c r="IZ3374" s="74"/>
      <c r="JA3374" s="74"/>
    </row>
    <row r="3375" spans="1:261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Q3375" s="74"/>
      <c r="R3375" s="74"/>
      <c r="S3375" s="74"/>
      <c r="T3375" s="74"/>
      <c r="U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  <c r="IW3375" s="74"/>
      <c r="IX3375" s="74"/>
      <c r="IY3375" s="74"/>
      <c r="IZ3375" s="74"/>
      <c r="JA3375" s="74"/>
    </row>
    <row r="3376" spans="1:261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Q3376" s="74"/>
      <c r="R3376" s="74"/>
      <c r="S3376" s="74"/>
      <c r="T3376" s="74"/>
      <c r="U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  <c r="IW3376" s="74"/>
      <c r="IX3376" s="74"/>
      <c r="IY3376" s="74"/>
      <c r="IZ3376" s="74"/>
      <c r="JA3376" s="74"/>
    </row>
    <row r="3377" spans="1:261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Q3377" s="74"/>
      <c r="R3377" s="74"/>
      <c r="S3377" s="74"/>
      <c r="T3377" s="74"/>
      <c r="U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  <c r="IW3377" s="74"/>
      <c r="IX3377" s="74"/>
      <c r="IY3377" s="74"/>
      <c r="IZ3377" s="74"/>
      <c r="JA3377" s="74"/>
    </row>
    <row r="3378" spans="1:261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Q3378" s="74"/>
      <c r="R3378" s="74"/>
      <c r="S3378" s="74"/>
      <c r="T3378" s="74"/>
      <c r="U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  <c r="IW3378" s="74"/>
      <c r="IX3378" s="74"/>
      <c r="IY3378" s="74"/>
      <c r="IZ3378" s="74"/>
      <c r="JA3378" s="74"/>
    </row>
    <row r="3379" spans="1:261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Q3379" s="74"/>
      <c r="R3379" s="74"/>
      <c r="S3379" s="74"/>
      <c r="T3379" s="74"/>
      <c r="U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  <c r="IW3379" s="74"/>
      <c r="IX3379" s="74"/>
      <c r="IY3379" s="74"/>
      <c r="IZ3379" s="74"/>
      <c r="JA3379" s="74"/>
    </row>
    <row r="3380" spans="1:261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Q3380" s="74"/>
      <c r="R3380" s="74"/>
      <c r="S3380" s="74"/>
      <c r="T3380" s="74"/>
      <c r="U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  <c r="IW3380" s="74"/>
      <c r="IX3380" s="74"/>
      <c r="IY3380" s="74"/>
      <c r="IZ3380" s="74"/>
      <c r="JA3380" s="74"/>
    </row>
    <row r="3381" spans="1:261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Q3381" s="74"/>
      <c r="R3381" s="74"/>
      <c r="S3381" s="74"/>
      <c r="T3381" s="74"/>
      <c r="U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  <c r="IW3381" s="74"/>
      <c r="IX3381" s="74"/>
      <c r="IY3381" s="74"/>
      <c r="IZ3381" s="74"/>
      <c r="JA3381" s="74"/>
    </row>
    <row r="3382" spans="1:261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Q3382" s="74"/>
      <c r="R3382" s="74"/>
      <c r="S3382" s="74"/>
      <c r="T3382" s="74"/>
      <c r="U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  <c r="IW3382" s="74"/>
      <c r="IX3382" s="74"/>
      <c r="IY3382" s="74"/>
      <c r="IZ3382" s="74"/>
      <c r="JA3382" s="74"/>
    </row>
    <row r="3383" spans="1:261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Q3383" s="74"/>
      <c r="R3383" s="74"/>
      <c r="S3383" s="74"/>
      <c r="T3383" s="74"/>
      <c r="U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  <c r="IW3383" s="74"/>
      <c r="IX3383" s="74"/>
      <c r="IY3383" s="74"/>
      <c r="IZ3383" s="74"/>
      <c r="JA3383" s="74"/>
    </row>
    <row r="3384" spans="1:261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Q3384" s="74"/>
      <c r="R3384" s="74"/>
      <c r="S3384" s="74"/>
      <c r="T3384" s="74"/>
      <c r="U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  <c r="IW3384" s="74"/>
      <c r="IX3384" s="74"/>
      <c r="IY3384" s="74"/>
      <c r="IZ3384" s="74"/>
      <c r="JA3384" s="74"/>
    </row>
    <row r="3385" spans="1:261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Q3385" s="74"/>
      <c r="R3385" s="74"/>
      <c r="S3385" s="74"/>
      <c r="T3385" s="74"/>
      <c r="U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  <c r="IW3385" s="74"/>
      <c r="IX3385" s="74"/>
      <c r="IY3385" s="74"/>
      <c r="IZ3385" s="74"/>
      <c r="JA3385" s="74"/>
    </row>
    <row r="3386" spans="1:261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Q3386" s="74"/>
      <c r="R3386" s="74"/>
      <c r="S3386" s="74"/>
      <c r="T3386" s="74"/>
      <c r="U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  <c r="IW3386" s="74"/>
      <c r="IX3386" s="74"/>
      <c r="IY3386" s="74"/>
      <c r="IZ3386" s="74"/>
      <c r="JA3386" s="74"/>
    </row>
    <row r="3387" spans="1:261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Q3387" s="74"/>
      <c r="R3387" s="74"/>
      <c r="S3387" s="74"/>
      <c r="T3387" s="74"/>
      <c r="U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  <c r="IW3387" s="74"/>
      <c r="IX3387" s="74"/>
      <c r="IY3387" s="74"/>
      <c r="IZ3387" s="74"/>
      <c r="JA3387" s="74"/>
    </row>
    <row r="3388" spans="1:261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Q3388" s="74"/>
      <c r="R3388" s="74"/>
      <c r="S3388" s="74"/>
      <c r="T3388" s="74"/>
      <c r="U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  <c r="IW3388" s="74"/>
      <c r="IX3388" s="74"/>
      <c r="IY3388" s="74"/>
      <c r="IZ3388" s="74"/>
      <c r="JA3388" s="74"/>
    </row>
    <row r="3389" spans="1:261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Q3389" s="74"/>
      <c r="R3389" s="74"/>
      <c r="S3389" s="74"/>
      <c r="T3389" s="74"/>
      <c r="U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  <c r="IW3389" s="74"/>
      <c r="IX3389" s="74"/>
      <c r="IY3389" s="74"/>
      <c r="IZ3389" s="74"/>
      <c r="JA3389" s="74"/>
    </row>
    <row r="3390" spans="1:261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Q3390" s="74"/>
      <c r="R3390" s="74"/>
      <c r="S3390" s="74"/>
      <c r="T3390" s="74"/>
      <c r="U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  <c r="IW3390" s="74"/>
      <c r="IX3390" s="74"/>
      <c r="IY3390" s="74"/>
      <c r="IZ3390" s="74"/>
      <c r="JA3390" s="74"/>
    </row>
    <row r="3391" spans="1:261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Q3391" s="74"/>
      <c r="R3391" s="74"/>
      <c r="S3391" s="74"/>
      <c r="T3391" s="74"/>
      <c r="U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  <c r="IW3391" s="74"/>
      <c r="IX3391" s="74"/>
      <c r="IY3391" s="74"/>
      <c r="IZ3391" s="74"/>
      <c r="JA3391" s="74"/>
    </row>
    <row r="3392" spans="1:261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Q3392" s="74"/>
      <c r="R3392" s="74"/>
      <c r="S3392" s="74"/>
      <c r="T3392" s="74"/>
      <c r="U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  <c r="IW3392" s="74"/>
      <c r="IX3392" s="74"/>
      <c r="IY3392" s="74"/>
      <c r="IZ3392" s="74"/>
      <c r="JA3392" s="74"/>
    </row>
    <row r="3393" spans="1:261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Q3393" s="74"/>
      <c r="R3393" s="74"/>
      <c r="S3393" s="74"/>
      <c r="T3393" s="74"/>
      <c r="U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  <c r="IW3393" s="74"/>
      <c r="IX3393" s="74"/>
      <c r="IY3393" s="74"/>
      <c r="IZ3393" s="74"/>
      <c r="JA3393" s="74"/>
    </row>
    <row r="3394" spans="1:261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Q3394" s="74"/>
      <c r="R3394" s="74"/>
      <c r="S3394" s="74"/>
      <c r="T3394" s="74"/>
      <c r="U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  <c r="IW3394" s="74"/>
      <c r="IX3394" s="74"/>
      <c r="IY3394" s="74"/>
      <c r="IZ3394" s="74"/>
      <c r="JA3394" s="74"/>
    </row>
    <row r="3395" spans="1:261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Q3395" s="74"/>
      <c r="R3395" s="74"/>
      <c r="S3395" s="74"/>
      <c r="T3395" s="74"/>
      <c r="U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  <c r="IW3395" s="74"/>
      <c r="IX3395" s="74"/>
      <c r="IY3395" s="74"/>
      <c r="IZ3395" s="74"/>
      <c r="JA3395" s="74"/>
    </row>
    <row r="3396" spans="1:261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Q3396" s="74"/>
      <c r="R3396" s="74"/>
      <c r="S3396" s="74"/>
      <c r="T3396" s="74"/>
      <c r="U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  <c r="IW3396" s="74"/>
      <c r="IX3396" s="74"/>
      <c r="IY3396" s="74"/>
      <c r="IZ3396" s="74"/>
      <c r="JA3396" s="74"/>
    </row>
    <row r="3397" spans="1:261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Q3397" s="74"/>
      <c r="R3397" s="74"/>
      <c r="S3397" s="74"/>
      <c r="T3397" s="74"/>
      <c r="U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  <c r="IW3397" s="74"/>
      <c r="IX3397" s="74"/>
      <c r="IY3397" s="74"/>
      <c r="IZ3397" s="74"/>
      <c r="JA3397" s="74"/>
    </row>
    <row r="3398" spans="1:261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Q3398" s="74"/>
      <c r="R3398" s="74"/>
      <c r="S3398" s="74"/>
      <c r="T3398" s="74"/>
      <c r="U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  <c r="IW3398" s="74"/>
      <c r="IX3398" s="74"/>
      <c r="IY3398" s="74"/>
      <c r="IZ3398" s="74"/>
      <c r="JA3398" s="74"/>
    </row>
    <row r="3399" spans="1:261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Q3399" s="74"/>
      <c r="R3399" s="74"/>
      <c r="S3399" s="74"/>
      <c r="T3399" s="74"/>
      <c r="U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  <c r="IW3399" s="74"/>
      <c r="IX3399" s="74"/>
      <c r="IY3399" s="74"/>
      <c r="IZ3399" s="74"/>
      <c r="JA3399" s="74"/>
    </row>
    <row r="3400" spans="1:261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Q3400" s="74"/>
      <c r="R3400" s="74"/>
      <c r="S3400" s="74"/>
      <c r="T3400" s="74"/>
      <c r="U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  <c r="IW3400" s="74"/>
      <c r="IX3400" s="74"/>
      <c r="IY3400" s="74"/>
      <c r="IZ3400" s="74"/>
      <c r="JA3400" s="74"/>
    </row>
    <row r="3401" spans="1:261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Q3401" s="74"/>
      <c r="R3401" s="74"/>
      <c r="S3401" s="74"/>
      <c r="T3401" s="74"/>
      <c r="U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  <c r="IW3401" s="74"/>
      <c r="IX3401" s="74"/>
      <c r="IY3401" s="74"/>
      <c r="IZ3401" s="74"/>
      <c r="JA3401" s="74"/>
    </row>
    <row r="3402" spans="1:261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Q3402" s="74"/>
      <c r="R3402" s="74"/>
      <c r="S3402" s="74"/>
      <c r="T3402" s="74"/>
      <c r="U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  <c r="IW3402" s="74"/>
      <c r="IX3402" s="74"/>
      <c r="IY3402" s="74"/>
      <c r="IZ3402" s="74"/>
      <c r="JA3402" s="74"/>
    </row>
    <row r="3403" spans="1:261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Q3403" s="74"/>
      <c r="R3403" s="74"/>
      <c r="S3403" s="74"/>
      <c r="T3403" s="74"/>
      <c r="U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  <c r="IW3403" s="74"/>
      <c r="IX3403" s="74"/>
      <c r="IY3403" s="74"/>
      <c r="IZ3403" s="74"/>
      <c r="JA3403" s="74"/>
    </row>
    <row r="3404" spans="1:261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Q3404" s="74"/>
      <c r="R3404" s="74"/>
      <c r="S3404" s="74"/>
      <c r="T3404" s="74"/>
      <c r="U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  <c r="IW3404" s="74"/>
      <c r="IX3404" s="74"/>
      <c r="IY3404" s="74"/>
      <c r="IZ3404" s="74"/>
      <c r="JA3404" s="74"/>
    </row>
    <row r="3405" spans="1:261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Q3405" s="74"/>
      <c r="R3405" s="74"/>
      <c r="S3405" s="74"/>
      <c r="T3405" s="74"/>
      <c r="U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  <c r="IW3405" s="74"/>
      <c r="IX3405" s="74"/>
      <c r="IY3405" s="74"/>
      <c r="IZ3405" s="74"/>
      <c r="JA3405" s="74"/>
    </row>
    <row r="3406" spans="1:261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Q3406" s="74"/>
      <c r="R3406" s="74"/>
      <c r="S3406" s="74"/>
      <c r="T3406" s="74"/>
      <c r="U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  <c r="IW3406" s="74"/>
      <c r="IX3406" s="74"/>
      <c r="IY3406" s="74"/>
      <c r="IZ3406" s="74"/>
      <c r="JA3406" s="74"/>
    </row>
    <row r="3407" spans="1:261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Q3407" s="74"/>
      <c r="R3407" s="74"/>
      <c r="S3407" s="74"/>
      <c r="T3407" s="74"/>
      <c r="U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  <c r="IW3407" s="74"/>
      <c r="IX3407" s="74"/>
      <c r="IY3407" s="74"/>
      <c r="IZ3407" s="74"/>
      <c r="JA3407" s="74"/>
    </row>
    <row r="3408" spans="1:261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Q3408" s="74"/>
      <c r="R3408" s="74"/>
      <c r="S3408" s="74"/>
      <c r="T3408" s="74"/>
      <c r="U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  <c r="IW3408" s="74"/>
      <c r="IX3408" s="74"/>
      <c r="IY3408" s="74"/>
      <c r="IZ3408" s="74"/>
      <c r="JA3408" s="74"/>
    </row>
    <row r="3409" spans="1:261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Q3409" s="74"/>
      <c r="R3409" s="74"/>
      <c r="S3409" s="74"/>
      <c r="T3409" s="74"/>
      <c r="U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  <c r="IW3409" s="74"/>
      <c r="IX3409" s="74"/>
      <c r="IY3409" s="74"/>
      <c r="IZ3409" s="74"/>
      <c r="JA3409" s="74"/>
    </row>
    <row r="3410" spans="1:261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Q3410" s="74"/>
      <c r="R3410" s="74"/>
      <c r="S3410" s="74"/>
      <c r="T3410" s="74"/>
      <c r="U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  <c r="IW3410" s="74"/>
      <c r="IX3410" s="74"/>
      <c r="IY3410" s="74"/>
      <c r="IZ3410" s="74"/>
      <c r="JA3410" s="74"/>
    </row>
    <row r="3411" spans="1:261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Q3411" s="74"/>
      <c r="R3411" s="74"/>
      <c r="S3411" s="74"/>
      <c r="T3411" s="74"/>
      <c r="U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  <c r="IW3411" s="74"/>
      <c r="IX3411" s="74"/>
      <c r="IY3411" s="74"/>
      <c r="IZ3411" s="74"/>
      <c r="JA3411" s="74"/>
    </row>
    <row r="3412" spans="1:261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Q3412" s="74"/>
      <c r="R3412" s="74"/>
      <c r="S3412" s="74"/>
      <c r="T3412" s="74"/>
      <c r="U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  <c r="IW3412" s="74"/>
      <c r="IX3412" s="74"/>
      <c r="IY3412" s="74"/>
      <c r="IZ3412" s="74"/>
      <c r="JA3412" s="74"/>
    </row>
    <row r="3413" spans="1:261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Q3413" s="74"/>
      <c r="R3413" s="74"/>
      <c r="S3413" s="74"/>
      <c r="T3413" s="74"/>
      <c r="U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  <c r="IW3413" s="74"/>
      <c r="IX3413" s="74"/>
      <c r="IY3413" s="74"/>
      <c r="IZ3413" s="74"/>
      <c r="JA3413" s="74"/>
    </row>
    <row r="3414" spans="1:261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Q3414" s="74"/>
      <c r="R3414" s="74"/>
      <c r="S3414" s="74"/>
      <c r="T3414" s="74"/>
      <c r="U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  <c r="IW3414" s="74"/>
      <c r="IX3414" s="74"/>
      <c r="IY3414" s="74"/>
      <c r="IZ3414" s="74"/>
      <c r="JA3414" s="74"/>
    </row>
    <row r="3415" spans="1:261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Q3415" s="74"/>
      <c r="R3415" s="74"/>
      <c r="S3415" s="74"/>
      <c r="T3415" s="74"/>
      <c r="U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  <c r="IW3415" s="74"/>
      <c r="IX3415" s="74"/>
      <c r="IY3415" s="74"/>
      <c r="IZ3415" s="74"/>
      <c r="JA3415" s="74"/>
    </row>
    <row r="3416" spans="1:261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Q3416" s="74"/>
      <c r="R3416" s="74"/>
      <c r="S3416" s="74"/>
      <c r="T3416" s="74"/>
      <c r="U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  <c r="IW3416" s="74"/>
      <c r="IX3416" s="74"/>
      <c r="IY3416" s="74"/>
      <c r="IZ3416" s="74"/>
      <c r="JA3416" s="74"/>
    </row>
    <row r="3417" spans="1:261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Q3417" s="74"/>
      <c r="R3417" s="74"/>
      <c r="S3417" s="74"/>
      <c r="T3417" s="74"/>
      <c r="U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  <c r="IW3417" s="74"/>
      <c r="IX3417" s="74"/>
      <c r="IY3417" s="74"/>
      <c r="IZ3417" s="74"/>
      <c r="JA3417" s="74"/>
    </row>
    <row r="3418" spans="1:261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Q3418" s="74"/>
      <c r="R3418" s="74"/>
      <c r="S3418" s="74"/>
      <c r="T3418" s="74"/>
      <c r="U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  <c r="IW3418" s="74"/>
      <c r="IX3418" s="74"/>
      <c r="IY3418" s="74"/>
      <c r="IZ3418" s="74"/>
      <c r="JA3418" s="74"/>
    </row>
    <row r="3419" spans="1:261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Q3419" s="74"/>
      <c r="R3419" s="74"/>
      <c r="S3419" s="74"/>
      <c r="T3419" s="74"/>
      <c r="U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  <c r="IW3419" s="74"/>
      <c r="IX3419" s="74"/>
      <c r="IY3419" s="74"/>
      <c r="IZ3419" s="74"/>
      <c r="JA3419" s="74"/>
    </row>
    <row r="3420" spans="1:261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Q3420" s="74"/>
      <c r="R3420" s="74"/>
      <c r="S3420" s="74"/>
      <c r="T3420" s="74"/>
      <c r="U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  <c r="IW3420" s="74"/>
      <c r="IX3420" s="74"/>
      <c r="IY3420" s="74"/>
      <c r="IZ3420" s="74"/>
      <c r="JA3420" s="74"/>
    </row>
    <row r="3421" spans="1:261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Q3421" s="74"/>
      <c r="R3421" s="74"/>
      <c r="S3421" s="74"/>
      <c r="T3421" s="74"/>
      <c r="U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  <c r="IW3421" s="74"/>
      <c r="IX3421" s="74"/>
      <c r="IY3421" s="74"/>
      <c r="IZ3421" s="74"/>
      <c r="JA3421" s="74"/>
    </row>
    <row r="3422" spans="1:261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Q3422" s="74"/>
      <c r="R3422" s="74"/>
      <c r="S3422" s="74"/>
      <c r="T3422" s="74"/>
      <c r="U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  <c r="IW3422" s="74"/>
      <c r="IX3422" s="74"/>
      <c r="IY3422" s="74"/>
      <c r="IZ3422" s="74"/>
      <c r="JA3422" s="74"/>
    </row>
    <row r="3423" spans="1:261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Q3423" s="74"/>
      <c r="R3423" s="74"/>
      <c r="S3423" s="74"/>
      <c r="T3423" s="74"/>
      <c r="U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  <c r="IW3423" s="74"/>
      <c r="IX3423" s="74"/>
      <c r="IY3423" s="74"/>
      <c r="IZ3423" s="74"/>
      <c r="JA3423" s="74"/>
    </row>
    <row r="3424" spans="1:261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Q3424" s="74"/>
      <c r="R3424" s="74"/>
      <c r="S3424" s="74"/>
      <c r="T3424" s="74"/>
      <c r="U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  <c r="IW3424" s="74"/>
      <c r="IX3424" s="74"/>
      <c r="IY3424" s="74"/>
      <c r="IZ3424" s="74"/>
      <c r="JA3424" s="74"/>
    </row>
    <row r="3425" spans="1:261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Q3425" s="74"/>
      <c r="R3425" s="74"/>
      <c r="S3425" s="74"/>
      <c r="T3425" s="74"/>
      <c r="U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  <c r="IW3425" s="74"/>
      <c r="IX3425" s="74"/>
      <c r="IY3425" s="74"/>
      <c r="IZ3425" s="74"/>
      <c r="JA3425" s="74"/>
    </row>
    <row r="3426" spans="1:261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Q3426" s="74"/>
      <c r="R3426" s="74"/>
      <c r="S3426" s="74"/>
      <c r="T3426" s="74"/>
      <c r="U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  <c r="IW3426" s="74"/>
      <c r="IX3426" s="74"/>
      <c r="IY3426" s="74"/>
      <c r="IZ3426" s="74"/>
      <c r="JA3426" s="74"/>
    </row>
    <row r="3427" spans="1:261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Q3427" s="74"/>
      <c r="R3427" s="74"/>
      <c r="S3427" s="74"/>
      <c r="T3427" s="74"/>
      <c r="U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  <c r="IW3427" s="74"/>
      <c r="IX3427" s="74"/>
      <c r="IY3427" s="74"/>
      <c r="IZ3427" s="74"/>
      <c r="JA3427" s="74"/>
    </row>
    <row r="3428" spans="1:261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Q3428" s="74"/>
      <c r="R3428" s="74"/>
      <c r="S3428" s="74"/>
      <c r="T3428" s="74"/>
      <c r="U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  <c r="IW3428" s="74"/>
      <c r="IX3428" s="74"/>
      <c r="IY3428" s="74"/>
      <c r="IZ3428" s="74"/>
      <c r="JA3428" s="74"/>
    </row>
    <row r="3429" spans="1:261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Q3429" s="74"/>
      <c r="R3429" s="74"/>
      <c r="S3429" s="74"/>
      <c r="T3429" s="74"/>
      <c r="U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  <c r="IW3429" s="74"/>
      <c r="IX3429" s="74"/>
      <c r="IY3429" s="74"/>
      <c r="IZ3429" s="74"/>
      <c r="JA3429" s="74"/>
    </row>
    <row r="3430" spans="1:261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Q3430" s="74"/>
      <c r="R3430" s="74"/>
      <c r="S3430" s="74"/>
      <c r="T3430" s="74"/>
      <c r="U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  <c r="IW3430" s="74"/>
      <c r="IX3430" s="74"/>
      <c r="IY3430" s="74"/>
      <c r="IZ3430" s="74"/>
      <c r="JA3430" s="74"/>
    </row>
    <row r="3431" spans="1:261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Q3431" s="74"/>
      <c r="R3431" s="74"/>
      <c r="S3431" s="74"/>
      <c r="T3431" s="74"/>
      <c r="U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  <c r="IW3431" s="74"/>
      <c r="IX3431" s="74"/>
      <c r="IY3431" s="74"/>
      <c r="IZ3431" s="74"/>
      <c r="JA3431" s="74"/>
    </row>
    <row r="3432" spans="1:261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Q3432" s="74"/>
      <c r="R3432" s="74"/>
      <c r="S3432" s="74"/>
      <c r="T3432" s="74"/>
      <c r="U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  <c r="IW3432" s="74"/>
      <c r="IX3432" s="74"/>
      <c r="IY3432" s="74"/>
      <c r="IZ3432" s="74"/>
      <c r="JA3432" s="74"/>
    </row>
    <row r="3433" spans="1:261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Q3433" s="74"/>
      <c r="R3433" s="74"/>
      <c r="S3433" s="74"/>
      <c r="T3433" s="74"/>
      <c r="U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  <c r="IW3433" s="74"/>
      <c r="IX3433" s="74"/>
      <c r="IY3433" s="74"/>
      <c r="IZ3433" s="74"/>
      <c r="JA3433" s="74"/>
    </row>
    <row r="3434" spans="1:261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Q3434" s="74"/>
      <c r="R3434" s="74"/>
      <c r="S3434" s="74"/>
      <c r="T3434" s="74"/>
      <c r="U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  <c r="IW3434" s="74"/>
      <c r="IX3434" s="74"/>
      <c r="IY3434" s="74"/>
      <c r="IZ3434" s="74"/>
      <c r="JA3434" s="74"/>
    </row>
    <row r="3435" spans="1:261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Q3435" s="74"/>
      <c r="R3435" s="74"/>
      <c r="S3435" s="74"/>
      <c r="T3435" s="74"/>
      <c r="U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  <c r="IW3435" s="74"/>
      <c r="IX3435" s="74"/>
      <c r="IY3435" s="74"/>
      <c r="IZ3435" s="74"/>
      <c r="JA3435" s="74"/>
    </row>
    <row r="3436" spans="1:261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Q3436" s="74"/>
      <c r="R3436" s="74"/>
      <c r="S3436" s="74"/>
      <c r="T3436" s="74"/>
      <c r="U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  <c r="IW3436" s="74"/>
      <c r="IX3436" s="74"/>
      <c r="IY3436" s="74"/>
      <c r="IZ3436" s="74"/>
      <c r="JA3436" s="74"/>
    </row>
    <row r="3437" spans="1:261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Q3437" s="74"/>
      <c r="R3437" s="74"/>
      <c r="S3437" s="74"/>
      <c r="T3437" s="74"/>
      <c r="U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  <c r="IW3437" s="74"/>
      <c r="IX3437" s="74"/>
      <c r="IY3437" s="74"/>
      <c r="IZ3437" s="74"/>
      <c r="JA3437" s="74"/>
    </row>
    <row r="3438" spans="1:261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Q3438" s="74"/>
      <c r="R3438" s="74"/>
      <c r="S3438" s="74"/>
      <c r="T3438" s="74"/>
      <c r="U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  <c r="IW3438" s="74"/>
      <c r="IX3438" s="74"/>
      <c r="IY3438" s="74"/>
      <c r="IZ3438" s="74"/>
      <c r="JA3438" s="74"/>
    </row>
    <row r="3439" spans="1:261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Q3439" s="74"/>
      <c r="R3439" s="74"/>
      <c r="S3439" s="74"/>
      <c r="T3439" s="74"/>
      <c r="U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  <c r="IW3439" s="74"/>
      <c r="IX3439" s="74"/>
      <c r="IY3439" s="74"/>
      <c r="IZ3439" s="74"/>
      <c r="JA3439" s="74"/>
    </row>
    <row r="3440" spans="1:261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Q3440" s="74"/>
      <c r="R3440" s="74"/>
      <c r="S3440" s="74"/>
      <c r="T3440" s="74"/>
      <c r="U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  <c r="IW3440" s="74"/>
      <c r="IX3440" s="74"/>
      <c r="IY3440" s="74"/>
      <c r="IZ3440" s="74"/>
      <c r="JA3440" s="74"/>
    </row>
    <row r="3441" spans="1:261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Q3441" s="74"/>
      <c r="R3441" s="74"/>
      <c r="S3441" s="74"/>
      <c r="T3441" s="74"/>
      <c r="U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  <c r="IW3441" s="74"/>
      <c r="IX3441" s="74"/>
      <c r="IY3441" s="74"/>
      <c r="IZ3441" s="74"/>
      <c r="JA3441" s="74"/>
    </row>
    <row r="3442" spans="1:261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Q3442" s="74"/>
      <c r="R3442" s="74"/>
      <c r="S3442" s="74"/>
      <c r="T3442" s="74"/>
      <c r="U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  <c r="IW3442" s="74"/>
      <c r="IX3442" s="74"/>
      <c r="IY3442" s="74"/>
      <c r="IZ3442" s="74"/>
      <c r="JA3442" s="74"/>
    </row>
    <row r="3443" spans="1:261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Q3443" s="74"/>
      <c r="R3443" s="74"/>
      <c r="S3443" s="74"/>
      <c r="T3443" s="74"/>
      <c r="U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  <c r="IW3443" s="74"/>
      <c r="IX3443" s="74"/>
      <c r="IY3443" s="74"/>
      <c r="IZ3443" s="74"/>
      <c r="JA3443" s="74"/>
    </row>
    <row r="3444" spans="1:261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Q3444" s="74"/>
      <c r="R3444" s="74"/>
      <c r="S3444" s="74"/>
      <c r="T3444" s="74"/>
      <c r="U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  <c r="IW3444" s="74"/>
      <c r="IX3444" s="74"/>
      <c r="IY3444" s="74"/>
      <c r="IZ3444" s="74"/>
      <c r="JA3444" s="74"/>
    </row>
    <row r="3445" spans="1:261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Q3445" s="74"/>
      <c r="R3445" s="74"/>
      <c r="S3445" s="74"/>
      <c r="T3445" s="74"/>
      <c r="U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  <c r="IW3445" s="74"/>
      <c r="IX3445" s="74"/>
      <c r="IY3445" s="74"/>
      <c r="IZ3445" s="74"/>
      <c r="JA3445" s="74"/>
    </row>
    <row r="3446" spans="1:261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Q3446" s="74"/>
      <c r="R3446" s="74"/>
      <c r="S3446" s="74"/>
      <c r="T3446" s="74"/>
      <c r="U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  <c r="IW3446" s="74"/>
      <c r="IX3446" s="74"/>
      <c r="IY3446" s="74"/>
      <c r="IZ3446" s="74"/>
      <c r="JA3446" s="74"/>
    </row>
    <row r="3447" spans="1:261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Q3447" s="74"/>
      <c r="R3447" s="74"/>
      <c r="S3447" s="74"/>
      <c r="T3447" s="74"/>
      <c r="U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  <c r="IW3447" s="74"/>
      <c r="IX3447" s="74"/>
      <c r="IY3447" s="74"/>
      <c r="IZ3447" s="74"/>
      <c r="JA3447" s="74"/>
    </row>
    <row r="3448" spans="1:261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Q3448" s="74"/>
      <c r="R3448" s="74"/>
      <c r="S3448" s="74"/>
      <c r="T3448" s="74"/>
      <c r="U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  <c r="IW3448" s="74"/>
      <c r="IX3448" s="74"/>
      <c r="IY3448" s="74"/>
      <c r="IZ3448" s="74"/>
      <c r="JA3448" s="74"/>
    </row>
    <row r="3449" spans="1:261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Q3449" s="74"/>
      <c r="R3449" s="74"/>
      <c r="S3449" s="74"/>
      <c r="T3449" s="74"/>
      <c r="U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  <c r="IW3449" s="74"/>
      <c r="IX3449" s="74"/>
      <c r="IY3449" s="74"/>
      <c r="IZ3449" s="74"/>
      <c r="JA3449" s="74"/>
    </row>
    <row r="3450" spans="1:261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Q3450" s="74"/>
      <c r="R3450" s="74"/>
      <c r="S3450" s="74"/>
      <c r="T3450" s="74"/>
      <c r="U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  <c r="IW3450" s="74"/>
      <c r="IX3450" s="74"/>
      <c r="IY3450" s="74"/>
      <c r="IZ3450" s="74"/>
      <c r="JA3450" s="74"/>
    </row>
    <row r="3451" spans="1:261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Q3451" s="74"/>
      <c r="R3451" s="74"/>
      <c r="S3451" s="74"/>
      <c r="T3451" s="74"/>
      <c r="U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  <c r="IW3451" s="74"/>
      <c r="IX3451" s="74"/>
      <c r="IY3451" s="74"/>
      <c r="IZ3451" s="74"/>
      <c r="JA3451" s="74"/>
    </row>
    <row r="3452" spans="1:261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Q3452" s="74"/>
      <c r="R3452" s="74"/>
      <c r="S3452" s="74"/>
      <c r="T3452" s="74"/>
      <c r="U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  <c r="IW3452" s="74"/>
      <c r="IX3452" s="74"/>
      <c r="IY3452" s="74"/>
      <c r="IZ3452" s="74"/>
      <c r="JA3452" s="74"/>
    </row>
    <row r="3453" spans="1:261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Q3453" s="74"/>
      <c r="R3453" s="74"/>
      <c r="S3453" s="74"/>
      <c r="T3453" s="74"/>
      <c r="U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  <c r="IW3453" s="74"/>
      <c r="IX3453" s="74"/>
      <c r="IY3453" s="74"/>
      <c r="IZ3453" s="74"/>
      <c r="JA3453" s="74"/>
    </row>
    <row r="3454" spans="1:261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Q3454" s="74"/>
      <c r="R3454" s="74"/>
      <c r="S3454" s="74"/>
      <c r="T3454" s="74"/>
      <c r="U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  <c r="IW3454" s="74"/>
      <c r="IX3454" s="74"/>
      <c r="IY3454" s="74"/>
      <c r="IZ3454" s="74"/>
      <c r="JA3454" s="74"/>
    </row>
    <row r="3455" spans="1:261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Q3455" s="74"/>
      <c r="R3455" s="74"/>
      <c r="S3455" s="74"/>
      <c r="T3455" s="74"/>
      <c r="U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  <c r="IW3455" s="74"/>
      <c r="IX3455" s="74"/>
      <c r="IY3455" s="74"/>
      <c r="IZ3455" s="74"/>
      <c r="JA3455" s="74"/>
    </row>
    <row r="3456" spans="1:261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Q3456" s="74"/>
      <c r="R3456" s="74"/>
      <c r="S3456" s="74"/>
      <c r="T3456" s="74"/>
      <c r="U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  <c r="IW3456" s="74"/>
      <c r="IX3456" s="74"/>
      <c r="IY3456" s="74"/>
      <c r="IZ3456" s="74"/>
      <c r="JA3456" s="74"/>
    </row>
    <row r="3457" spans="1:261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Q3457" s="74"/>
      <c r="R3457" s="74"/>
      <c r="S3457" s="74"/>
      <c r="T3457" s="74"/>
      <c r="U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  <c r="IW3457" s="74"/>
      <c r="IX3457" s="74"/>
      <c r="IY3457" s="74"/>
      <c r="IZ3457" s="74"/>
      <c r="JA3457" s="74"/>
    </row>
    <row r="3458" spans="1:261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Q3458" s="74"/>
      <c r="R3458" s="74"/>
      <c r="S3458" s="74"/>
      <c r="T3458" s="74"/>
      <c r="U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  <c r="IW3458" s="74"/>
      <c r="IX3458" s="74"/>
      <c r="IY3458" s="74"/>
      <c r="IZ3458" s="74"/>
      <c r="JA3458" s="74"/>
    </row>
    <row r="3459" spans="1:261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Q3459" s="74"/>
      <c r="R3459" s="74"/>
      <c r="S3459" s="74"/>
      <c r="T3459" s="74"/>
      <c r="U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  <c r="IW3459" s="74"/>
      <c r="IX3459" s="74"/>
      <c r="IY3459" s="74"/>
      <c r="IZ3459" s="74"/>
      <c r="JA3459" s="74"/>
    </row>
    <row r="3460" spans="1:261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Q3460" s="74"/>
      <c r="R3460" s="74"/>
      <c r="S3460" s="74"/>
      <c r="T3460" s="74"/>
      <c r="U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  <c r="IW3460" s="74"/>
      <c r="IX3460" s="74"/>
      <c r="IY3460" s="74"/>
      <c r="IZ3460" s="74"/>
      <c r="JA3460" s="74"/>
    </row>
    <row r="3461" spans="1:261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Q3461" s="74"/>
      <c r="R3461" s="74"/>
      <c r="S3461" s="74"/>
      <c r="T3461" s="74"/>
      <c r="U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  <c r="IW3461" s="74"/>
      <c r="IX3461" s="74"/>
      <c r="IY3461" s="74"/>
      <c r="IZ3461" s="74"/>
      <c r="JA3461" s="74"/>
    </row>
    <row r="3462" spans="1:261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Q3462" s="74"/>
      <c r="R3462" s="74"/>
      <c r="S3462" s="74"/>
      <c r="T3462" s="74"/>
      <c r="U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  <c r="IW3462" s="74"/>
      <c r="IX3462" s="74"/>
      <c r="IY3462" s="74"/>
      <c r="IZ3462" s="74"/>
      <c r="JA3462" s="74"/>
    </row>
    <row r="3463" spans="1:261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Q3463" s="74"/>
      <c r="R3463" s="74"/>
      <c r="S3463" s="74"/>
      <c r="T3463" s="74"/>
      <c r="U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  <c r="IW3463" s="74"/>
      <c r="IX3463" s="74"/>
      <c r="IY3463" s="74"/>
      <c r="IZ3463" s="74"/>
      <c r="JA3463" s="74"/>
    </row>
    <row r="3464" spans="1:261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Q3464" s="74"/>
      <c r="R3464" s="74"/>
      <c r="S3464" s="74"/>
      <c r="T3464" s="74"/>
      <c r="U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  <c r="IW3464" s="74"/>
      <c r="IX3464" s="74"/>
      <c r="IY3464" s="74"/>
      <c r="IZ3464" s="74"/>
      <c r="JA3464" s="74"/>
    </row>
    <row r="3465" spans="1:261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Q3465" s="74"/>
      <c r="R3465" s="74"/>
      <c r="S3465" s="74"/>
      <c r="T3465" s="74"/>
      <c r="U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  <c r="IW3465" s="74"/>
      <c r="IX3465" s="74"/>
      <c r="IY3465" s="74"/>
      <c r="IZ3465" s="74"/>
      <c r="JA3465" s="74"/>
    </row>
    <row r="3466" spans="1:261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Q3466" s="74"/>
      <c r="R3466" s="74"/>
      <c r="S3466" s="74"/>
      <c r="T3466" s="74"/>
      <c r="U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  <c r="IW3466" s="74"/>
      <c r="IX3466" s="74"/>
      <c r="IY3466" s="74"/>
      <c r="IZ3466" s="74"/>
      <c r="JA3466" s="74"/>
    </row>
    <row r="3467" spans="1:261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Q3467" s="74"/>
      <c r="R3467" s="74"/>
      <c r="S3467" s="74"/>
      <c r="T3467" s="74"/>
      <c r="U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  <c r="IW3467" s="74"/>
      <c r="IX3467" s="74"/>
      <c r="IY3467" s="74"/>
      <c r="IZ3467" s="74"/>
      <c r="JA3467" s="74"/>
    </row>
    <row r="3468" spans="1:261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Q3468" s="74"/>
      <c r="R3468" s="74"/>
      <c r="S3468" s="74"/>
      <c r="T3468" s="74"/>
      <c r="U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  <c r="IW3468" s="74"/>
      <c r="IX3468" s="74"/>
      <c r="IY3468" s="74"/>
      <c r="IZ3468" s="74"/>
      <c r="JA3468" s="74"/>
    </row>
    <row r="3469" spans="1:261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Q3469" s="74"/>
      <c r="R3469" s="74"/>
      <c r="S3469" s="74"/>
      <c r="T3469" s="74"/>
      <c r="U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  <c r="IW3469" s="74"/>
      <c r="IX3469" s="74"/>
      <c r="IY3469" s="74"/>
      <c r="IZ3469" s="74"/>
      <c r="JA3469" s="74"/>
    </row>
    <row r="3470" spans="1:261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Q3470" s="74"/>
      <c r="R3470" s="74"/>
      <c r="S3470" s="74"/>
      <c r="T3470" s="74"/>
      <c r="U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  <c r="IW3470" s="74"/>
      <c r="IX3470" s="74"/>
      <c r="IY3470" s="74"/>
      <c r="IZ3470" s="74"/>
      <c r="JA3470" s="74"/>
    </row>
    <row r="3471" spans="1:261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Q3471" s="74"/>
      <c r="R3471" s="74"/>
      <c r="S3471" s="74"/>
      <c r="T3471" s="74"/>
      <c r="U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  <c r="IW3471" s="74"/>
      <c r="IX3471" s="74"/>
      <c r="IY3471" s="74"/>
      <c r="IZ3471" s="74"/>
      <c r="JA3471" s="74"/>
    </row>
    <row r="3472" spans="1:261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Q3472" s="74"/>
      <c r="R3472" s="74"/>
      <c r="S3472" s="74"/>
      <c r="T3472" s="74"/>
      <c r="U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  <c r="IW3472" s="74"/>
      <c r="IX3472" s="74"/>
      <c r="IY3472" s="74"/>
      <c r="IZ3472" s="74"/>
      <c r="JA3472" s="74"/>
    </row>
    <row r="3473" spans="1:261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Q3473" s="74"/>
      <c r="R3473" s="74"/>
      <c r="S3473" s="74"/>
      <c r="T3473" s="74"/>
      <c r="U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  <c r="IW3473" s="74"/>
      <c r="IX3473" s="74"/>
      <c r="IY3473" s="74"/>
      <c r="IZ3473" s="74"/>
      <c r="JA3473" s="74"/>
    </row>
    <row r="3474" spans="1:261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Q3474" s="74"/>
      <c r="R3474" s="74"/>
      <c r="S3474" s="74"/>
      <c r="T3474" s="74"/>
      <c r="U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  <c r="IW3474" s="74"/>
      <c r="IX3474" s="74"/>
      <c r="IY3474" s="74"/>
      <c r="IZ3474" s="74"/>
      <c r="JA3474" s="74"/>
    </row>
    <row r="3475" spans="1:261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Q3475" s="74"/>
      <c r="R3475" s="74"/>
      <c r="S3475" s="74"/>
      <c r="T3475" s="74"/>
      <c r="U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  <c r="IW3475" s="74"/>
      <c r="IX3475" s="74"/>
      <c r="IY3475" s="74"/>
      <c r="IZ3475" s="74"/>
      <c r="JA3475" s="74"/>
    </row>
    <row r="3476" spans="1:261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Q3476" s="74"/>
      <c r="R3476" s="74"/>
      <c r="S3476" s="74"/>
      <c r="T3476" s="74"/>
      <c r="U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  <c r="IW3476" s="74"/>
      <c r="IX3476" s="74"/>
      <c r="IY3476" s="74"/>
      <c r="IZ3476" s="74"/>
      <c r="JA3476" s="74"/>
    </row>
    <row r="3477" spans="1:261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Q3477" s="74"/>
      <c r="R3477" s="74"/>
      <c r="S3477" s="74"/>
      <c r="T3477" s="74"/>
      <c r="U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  <c r="IW3477" s="74"/>
      <c r="IX3477" s="74"/>
      <c r="IY3477" s="74"/>
      <c r="IZ3477" s="74"/>
      <c r="JA3477" s="74"/>
    </row>
    <row r="3478" spans="1:261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Q3478" s="74"/>
      <c r="R3478" s="74"/>
      <c r="S3478" s="74"/>
      <c r="T3478" s="74"/>
      <c r="U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  <c r="IW3478" s="74"/>
      <c r="IX3478" s="74"/>
      <c r="IY3478" s="74"/>
      <c r="IZ3478" s="74"/>
      <c r="JA3478" s="74"/>
    </row>
    <row r="3479" spans="1:261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Q3479" s="74"/>
      <c r="R3479" s="74"/>
      <c r="S3479" s="74"/>
      <c r="T3479" s="74"/>
      <c r="U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  <c r="IW3479" s="74"/>
      <c r="IX3479" s="74"/>
      <c r="IY3479" s="74"/>
      <c r="IZ3479" s="74"/>
      <c r="JA3479" s="74"/>
    </row>
    <row r="3480" spans="1:261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Q3480" s="74"/>
      <c r="R3480" s="74"/>
      <c r="S3480" s="74"/>
      <c r="T3480" s="74"/>
      <c r="U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  <c r="IW3480" s="74"/>
      <c r="IX3480" s="74"/>
      <c r="IY3480" s="74"/>
      <c r="IZ3480" s="74"/>
      <c r="JA3480" s="74"/>
    </row>
    <row r="3481" spans="1:261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Q3481" s="74"/>
      <c r="R3481" s="74"/>
      <c r="S3481" s="74"/>
      <c r="T3481" s="74"/>
      <c r="U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  <c r="IW3481" s="74"/>
      <c r="IX3481" s="74"/>
      <c r="IY3481" s="74"/>
      <c r="IZ3481" s="74"/>
      <c r="JA3481" s="74"/>
    </row>
    <row r="3482" spans="1:261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Q3482" s="74"/>
      <c r="R3482" s="74"/>
      <c r="S3482" s="74"/>
      <c r="T3482" s="74"/>
      <c r="U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  <c r="IW3482" s="74"/>
      <c r="IX3482" s="74"/>
      <c r="IY3482" s="74"/>
      <c r="IZ3482" s="74"/>
      <c r="JA3482" s="74"/>
    </row>
    <row r="3483" spans="1:261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Q3483" s="74"/>
      <c r="R3483" s="74"/>
      <c r="S3483" s="74"/>
      <c r="T3483" s="74"/>
      <c r="U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  <c r="IW3483" s="74"/>
      <c r="IX3483" s="74"/>
      <c r="IY3483" s="74"/>
      <c r="IZ3483" s="74"/>
      <c r="JA3483" s="74"/>
    </row>
    <row r="3484" spans="1:261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Q3484" s="74"/>
      <c r="R3484" s="74"/>
      <c r="S3484" s="74"/>
      <c r="T3484" s="74"/>
      <c r="U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  <c r="IW3484" s="74"/>
      <c r="IX3484" s="74"/>
      <c r="IY3484" s="74"/>
      <c r="IZ3484" s="74"/>
      <c r="JA3484" s="74"/>
    </row>
    <row r="3485" spans="1:261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Q3485" s="74"/>
      <c r="R3485" s="74"/>
      <c r="S3485" s="74"/>
      <c r="T3485" s="74"/>
      <c r="U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  <c r="IW3485" s="74"/>
      <c r="IX3485" s="74"/>
      <c r="IY3485" s="74"/>
      <c r="IZ3485" s="74"/>
      <c r="JA3485" s="74"/>
    </row>
    <row r="3486" spans="1:261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Q3486" s="74"/>
      <c r="R3486" s="74"/>
      <c r="S3486" s="74"/>
      <c r="T3486" s="74"/>
      <c r="U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  <c r="IW3486" s="74"/>
      <c r="IX3486" s="74"/>
      <c r="IY3486" s="74"/>
      <c r="IZ3486" s="74"/>
      <c r="JA3486" s="74"/>
    </row>
    <row r="3487" spans="1:261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Q3487" s="74"/>
      <c r="R3487" s="74"/>
      <c r="S3487" s="74"/>
      <c r="T3487" s="74"/>
      <c r="U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  <c r="IW3487" s="74"/>
      <c r="IX3487" s="74"/>
      <c r="IY3487" s="74"/>
      <c r="IZ3487" s="74"/>
      <c r="JA3487" s="74"/>
    </row>
    <row r="3488" spans="1:261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Q3488" s="74"/>
      <c r="R3488" s="74"/>
      <c r="S3488" s="74"/>
      <c r="T3488" s="74"/>
      <c r="U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  <c r="IW3488" s="74"/>
      <c r="IX3488" s="74"/>
      <c r="IY3488" s="74"/>
      <c r="IZ3488" s="74"/>
      <c r="JA3488" s="74"/>
    </row>
    <row r="3489" spans="1:261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Q3489" s="74"/>
      <c r="R3489" s="74"/>
      <c r="S3489" s="74"/>
      <c r="T3489" s="74"/>
      <c r="U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  <c r="IW3489" s="74"/>
      <c r="IX3489" s="74"/>
      <c r="IY3489" s="74"/>
      <c r="IZ3489" s="74"/>
      <c r="JA3489" s="74"/>
    </row>
    <row r="3490" spans="1:261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Q3490" s="74"/>
      <c r="R3490" s="74"/>
      <c r="S3490" s="74"/>
      <c r="T3490" s="74"/>
      <c r="U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  <c r="IW3490" s="74"/>
      <c r="IX3490" s="74"/>
      <c r="IY3490" s="74"/>
      <c r="IZ3490" s="74"/>
      <c r="JA3490" s="74"/>
    </row>
    <row r="3491" spans="1:261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Q3491" s="74"/>
      <c r="R3491" s="74"/>
      <c r="S3491" s="74"/>
      <c r="T3491" s="74"/>
      <c r="U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  <c r="IW3491" s="74"/>
      <c r="IX3491" s="74"/>
      <c r="IY3491" s="74"/>
      <c r="IZ3491" s="74"/>
      <c r="JA3491" s="74"/>
    </row>
    <row r="3492" spans="1:261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Q3492" s="74"/>
      <c r="R3492" s="74"/>
      <c r="S3492" s="74"/>
      <c r="T3492" s="74"/>
      <c r="U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  <c r="IW3492" s="74"/>
      <c r="IX3492" s="74"/>
      <c r="IY3492" s="74"/>
      <c r="IZ3492" s="74"/>
      <c r="JA3492" s="74"/>
    </row>
    <row r="3493" spans="1:261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Q3493" s="74"/>
      <c r="R3493" s="74"/>
      <c r="S3493" s="74"/>
      <c r="T3493" s="74"/>
      <c r="U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  <c r="IW3493" s="74"/>
      <c r="IX3493" s="74"/>
      <c r="IY3493" s="74"/>
      <c r="IZ3493" s="74"/>
      <c r="JA3493" s="74"/>
    </row>
    <row r="3494" spans="1:261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Q3494" s="74"/>
      <c r="R3494" s="74"/>
      <c r="S3494" s="74"/>
      <c r="T3494" s="74"/>
      <c r="U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  <c r="IW3494" s="74"/>
      <c r="IX3494" s="74"/>
      <c r="IY3494" s="74"/>
      <c r="IZ3494" s="74"/>
      <c r="JA3494" s="74"/>
    </row>
    <row r="3495" spans="1:261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Q3495" s="74"/>
      <c r="R3495" s="74"/>
      <c r="S3495" s="74"/>
      <c r="T3495" s="74"/>
      <c r="U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  <c r="IW3495" s="74"/>
      <c r="IX3495" s="74"/>
      <c r="IY3495" s="74"/>
      <c r="IZ3495" s="74"/>
      <c r="JA3495" s="74"/>
    </row>
    <row r="3496" spans="1:261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Q3496" s="74"/>
      <c r="R3496" s="74"/>
      <c r="S3496" s="74"/>
      <c r="T3496" s="74"/>
      <c r="U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  <c r="IW3496" s="74"/>
      <c r="IX3496" s="74"/>
      <c r="IY3496" s="74"/>
      <c r="IZ3496" s="74"/>
      <c r="JA3496" s="74"/>
    </row>
    <row r="3497" spans="1:261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Q3497" s="74"/>
      <c r="R3497" s="74"/>
      <c r="S3497" s="74"/>
      <c r="T3497" s="74"/>
      <c r="U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  <c r="IW3497" s="74"/>
      <c r="IX3497" s="74"/>
      <c r="IY3497" s="74"/>
      <c r="IZ3497" s="74"/>
      <c r="JA3497" s="74"/>
    </row>
    <row r="3498" spans="1:261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Q3498" s="74"/>
      <c r="R3498" s="74"/>
      <c r="S3498" s="74"/>
      <c r="T3498" s="74"/>
      <c r="U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  <c r="IW3498" s="74"/>
      <c r="IX3498" s="74"/>
      <c r="IY3498" s="74"/>
      <c r="IZ3498" s="74"/>
      <c r="JA3498" s="74"/>
    </row>
    <row r="3499" spans="1:261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Q3499" s="74"/>
      <c r="R3499" s="74"/>
      <c r="S3499" s="74"/>
      <c r="T3499" s="74"/>
      <c r="U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  <c r="IW3499" s="74"/>
      <c r="IX3499" s="74"/>
      <c r="IY3499" s="74"/>
      <c r="IZ3499" s="74"/>
      <c r="JA3499" s="74"/>
    </row>
    <row r="3500" spans="1:261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Q3500" s="74"/>
      <c r="R3500" s="74"/>
      <c r="S3500" s="74"/>
      <c r="T3500" s="74"/>
      <c r="U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  <c r="IW3500" s="74"/>
      <c r="IX3500" s="74"/>
      <c r="IY3500" s="74"/>
      <c r="IZ3500" s="74"/>
      <c r="JA3500" s="74"/>
    </row>
    <row r="3501" spans="1:261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Q3501" s="74"/>
      <c r="R3501" s="74"/>
      <c r="S3501" s="74"/>
      <c r="T3501" s="74"/>
      <c r="U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  <c r="IW3501" s="74"/>
      <c r="IX3501" s="74"/>
      <c r="IY3501" s="74"/>
      <c r="IZ3501" s="74"/>
      <c r="JA3501" s="74"/>
    </row>
    <row r="3502" spans="1:261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Q3502" s="74"/>
      <c r="R3502" s="74"/>
      <c r="S3502" s="74"/>
      <c r="T3502" s="74"/>
      <c r="U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  <c r="IW3502" s="74"/>
      <c r="IX3502" s="74"/>
      <c r="IY3502" s="74"/>
      <c r="IZ3502" s="74"/>
      <c r="JA3502" s="74"/>
    </row>
    <row r="3503" spans="1:261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Q3503" s="74"/>
      <c r="R3503" s="74"/>
      <c r="S3503" s="74"/>
      <c r="T3503" s="74"/>
      <c r="U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  <c r="IW3503" s="74"/>
      <c r="IX3503" s="74"/>
      <c r="IY3503" s="74"/>
      <c r="IZ3503" s="74"/>
      <c r="JA3503" s="74"/>
    </row>
    <row r="3504" spans="1:261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Q3504" s="74"/>
      <c r="R3504" s="74"/>
      <c r="S3504" s="74"/>
      <c r="T3504" s="74"/>
      <c r="U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  <c r="IW3504" s="74"/>
      <c r="IX3504" s="74"/>
      <c r="IY3504" s="74"/>
      <c r="IZ3504" s="74"/>
      <c r="JA3504" s="74"/>
    </row>
    <row r="3505" spans="1:261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Q3505" s="74"/>
      <c r="R3505" s="74"/>
      <c r="S3505" s="74"/>
      <c r="T3505" s="74"/>
      <c r="U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  <c r="IW3505" s="74"/>
      <c r="IX3505" s="74"/>
      <c r="IY3505" s="74"/>
      <c r="IZ3505" s="74"/>
      <c r="JA3505" s="74"/>
    </row>
    <row r="3506" spans="1:261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Q3506" s="74"/>
      <c r="R3506" s="74"/>
      <c r="S3506" s="74"/>
      <c r="T3506" s="74"/>
      <c r="U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  <c r="IW3506" s="74"/>
      <c r="IX3506" s="74"/>
      <c r="IY3506" s="74"/>
      <c r="IZ3506" s="74"/>
      <c r="JA3506" s="74"/>
    </row>
    <row r="3507" spans="1:261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Q3507" s="74"/>
      <c r="R3507" s="74"/>
      <c r="S3507" s="74"/>
      <c r="T3507" s="74"/>
      <c r="U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  <c r="IW3507" s="74"/>
      <c r="IX3507" s="74"/>
      <c r="IY3507" s="74"/>
      <c r="IZ3507" s="74"/>
      <c r="JA3507" s="74"/>
    </row>
    <row r="3508" spans="1:261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Q3508" s="74"/>
      <c r="R3508" s="74"/>
      <c r="S3508" s="74"/>
      <c r="T3508" s="74"/>
      <c r="U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  <c r="IW3508" s="74"/>
      <c r="IX3508" s="74"/>
      <c r="IY3508" s="74"/>
      <c r="IZ3508" s="74"/>
      <c r="JA3508" s="74"/>
    </row>
    <row r="3509" spans="1:261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Q3509" s="74"/>
      <c r="R3509" s="74"/>
      <c r="S3509" s="74"/>
      <c r="T3509" s="74"/>
      <c r="U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  <c r="IW3509" s="74"/>
      <c r="IX3509" s="74"/>
      <c r="IY3509" s="74"/>
      <c r="IZ3509" s="74"/>
      <c r="JA3509" s="74"/>
    </row>
    <row r="3510" spans="1:261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Q3510" s="74"/>
      <c r="R3510" s="74"/>
      <c r="S3510" s="74"/>
      <c r="T3510" s="74"/>
      <c r="U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  <c r="IW3510" s="74"/>
      <c r="IX3510" s="74"/>
      <c r="IY3510" s="74"/>
      <c r="IZ3510" s="74"/>
      <c r="JA3510" s="74"/>
    </row>
    <row r="3511" spans="1:261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Q3511" s="74"/>
      <c r="R3511" s="74"/>
      <c r="S3511" s="74"/>
      <c r="T3511" s="74"/>
      <c r="U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  <c r="IW3511" s="74"/>
      <c r="IX3511" s="74"/>
      <c r="IY3511" s="74"/>
      <c r="IZ3511" s="74"/>
      <c r="JA3511" s="74"/>
    </row>
    <row r="3512" spans="1:261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Q3512" s="74"/>
      <c r="R3512" s="74"/>
      <c r="S3512" s="74"/>
      <c r="T3512" s="74"/>
      <c r="U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  <c r="IW3512" s="74"/>
      <c r="IX3512" s="74"/>
      <c r="IY3512" s="74"/>
      <c r="IZ3512" s="74"/>
      <c r="JA3512" s="74"/>
    </row>
    <row r="3513" spans="1:261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Q3513" s="74"/>
      <c r="R3513" s="74"/>
      <c r="S3513" s="74"/>
      <c r="T3513" s="74"/>
      <c r="U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  <c r="IW3513" s="74"/>
      <c r="IX3513" s="74"/>
      <c r="IY3513" s="74"/>
      <c r="IZ3513" s="74"/>
      <c r="JA3513" s="74"/>
    </row>
    <row r="3514" spans="1:261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Q3514" s="74"/>
      <c r="R3514" s="74"/>
      <c r="S3514" s="74"/>
      <c r="T3514" s="74"/>
      <c r="U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  <c r="IW3514" s="74"/>
      <c r="IX3514" s="74"/>
      <c r="IY3514" s="74"/>
      <c r="IZ3514" s="74"/>
      <c r="JA3514" s="74"/>
    </row>
    <row r="3515" spans="1:261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Q3515" s="74"/>
      <c r="R3515" s="74"/>
      <c r="S3515" s="74"/>
      <c r="T3515" s="74"/>
      <c r="U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  <c r="IW3515" s="74"/>
      <c r="IX3515" s="74"/>
      <c r="IY3515" s="74"/>
      <c r="IZ3515" s="74"/>
      <c r="JA3515" s="74"/>
    </row>
    <row r="3516" spans="1:261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Q3516" s="74"/>
      <c r="R3516" s="74"/>
      <c r="S3516" s="74"/>
      <c r="T3516" s="74"/>
      <c r="U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  <c r="IW3516" s="74"/>
      <c r="IX3516" s="74"/>
      <c r="IY3516" s="74"/>
      <c r="IZ3516" s="74"/>
      <c r="JA3516" s="74"/>
    </row>
    <row r="3517" spans="1:261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Q3517" s="74"/>
      <c r="R3517" s="74"/>
      <c r="S3517" s="74"/>
      <c r="T3517" s="74"/>
      <c r="U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  <c r="IW3517" s="74"/>
      <c r="IX3517" s="74"/>
      <c r="IY3517" s="74"/>
      <c r="IZ3517" s="74"/>
      <c r="JA3517" s="74"/>
    </row>
    <row r="3518" spans="1:261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Q3518" s="74"/>
      <c r="R3518" s="74"/>
      <c r="S3518" s="74"/>
      <c r="T3518" s="74"/>
      <c r="U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  <c r="IW3518" s="74"/>
      <c r="IX3518" s="74"/>
      <c r="IY3518" s="74"/>
      <c r="IZ3518" s="74"/>
      <c r="JA3518" s="74"/>
    </row>
    <row r="3519" spans="1:261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Q3519" s="74"/>
      <c r="R3519" s="74"/>
      <c r="S3519" s="74"/>
      <c r="T3519" s="74"/>
      <c r="U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  <c r="IW3519" s="74"/>
      <c r="IX3519" s="74"/>
      <c r="IY3519" s="74"/>
      <c r="IZ3519" s="74"/>
      <c r="JA3519" s="74"/>
    </row>
    <row r="3520" spans="1:261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Q3520" s="74"/>
      <c r="R3520" s="74"/>
      <c r="S3520" s="74"/>
      <c r="T3520" s="74"/>
      <c r="U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  <c r="IW3520" s="74"/>
      <c r="IX3520" s="74"/>
      <c r="IY3520" s="74"/>
      <c r="IZ3520" s="74"/>
      <c r="JA3520" s="74"/>
    </row>
    <row r="3521" spans="1:261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Q3521" s="74"/>
      <c r="R3521" s="74"/>
      <c r="S3521" s="74"/>
      <c r="T3521" s="74"/>
      <c r="U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  <c r="IW3521" s="74"/>
      <c r="IX3521" s="74"/>
      <c r="IY3521" s="74"/>
      <c r="IZ3521" s="74"/>
      <c r="JA3521" s="74"/>
    </row>
    <row r="3522" spans="1:261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Q3522" s="74"/>
      <c r="R3522" s="74"/>
      <c r="S3522" s="74"/>
      <c r="T3522" s="74"/>
      <c r="U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  <c r="IW3522" s="74"/>
      <c r="IX3522" s="74"/>
      <c r="IY3522" s="74"/>
      <c r="IZ3522" s="74"/>
      <c r="JA3522" s="74"/>
    </row>
    <row r="3523" spans="1:261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Q3523" s="74"/>
      <c r="R3523" s="74"/>
      <c r="S3523" s="74"/>
      <c r="T3523" s="74"/>
      <c r="U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  <c r="IW3523" s="74"/>
      <c r="IX3523" s="74"/>
      <c r="IY3523" s="74"/>
      <c r="IZ3523" s="74"/>
      <c r="JA3523" s="74"/>
    </row>
    <row r="3524" spans="1:261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Q3524" s="74"/>
      <c r="R3524" s="74"/>
      <c r="S3524" s="74"/>
      <c r="T3524" s="74"/>
      <c r="U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  <c r="IW3524" s="74"/>
      <c r="IX3524" s="74"/>
      <c r="IY3524" s="74"/>
      <c r="IZ3524" s="74"/>
      <c r="JA3524" s="74"/>
    </row>
    <row r="3525" spans="1:261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Q3525" s="74"/>
      <c r="R3525" s="74"/>
      <c r="S3525" s="74"/>
      <c r="T3525" s="74"/>
      <c r="U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  <c r="IW3525" s="74"/>
      <c r="IX3525" s="74"/>
      <c r="IY3525" s="74"/>
      <c r="IZ3525" s="74"/>
      <c r="JA3525" s="74"/>
    </row>
    <row r="3526" spans="1:261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Q3526" s="74"/>
      <c r="R3526" s="74"/>
      <c r="S3526" s="74"/>
      <c r="T3526" s="74"/>
      <c r="U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  <c r="IW3526" s="74"/>
      <c r="IX3526" s="74"/>
      <c r="IY3526" s="74"/>
      <c r="IZ3526" s="74"/>
      <c r="JA3526" s="74"/>
    </row>
    <row r="3527" spans="1:261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Q3527" s="74"/>
      <c r="R3527" s="74"/>
      <c r="S3527" s="74"/>
      <c r="T3527" s="74"/>
      <c r="U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  <c r="IW3527" s="74"/>
      <c r="IX3527" s="74"/>
      <c r="IY3527" s="74"/>
      <c r="IZ3527" s="74"/>
      <c r="JA3527" s="74"/>
    </row>
    <row r="3528" spans="1:261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Q3528" s="74"/>
      <c r="R3528" s="74"/>
      <c r="S3528" s="74"/>
      <c r="T3528" s="74"/>
      <c r="U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  <c r="IW3528" s="74"/>
      <c r="IX3528" s="74"/>
      <c r="IY3528" s="74"/>
      <c r="IZ3528" s="74"/>
      <c r="JA3528" s="74"/>
    </row>
    <row r="3529" spans="1:261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Q3529" s="74"/>
      <c r="R3529" s="74"/>
      <c r="S3529" s="74"/>
      <c r="T3529" s="74"/>
      <c r="U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  <c r="IW3529" s="74"/>
      <c r="IX3529" s="74"/>
      <c r="IY3529" s="74"/>
      <c r="IZ3529" s="74"/>
      <c r="JA3529" s="74"/>
    </row>
    <row r="3530" spans="1:261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Q3530" s="74"/>
      <c r="R3530" s="74"/>
      <c r="S3530" s="74"/>
      <c r="T3530" s="74"/>
      <c r="U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  <c r="IW3530" s="74"/>
      <c r="IX3530" s="74"/>
      <c r="IY3530" s="74"/>
      <c r="IZ3530" s="74"/>
      <c r="JA3530" s="74"/>
    </row>
    <row r="3531" spans="1:261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Q3531" s="74"/>
      <c r="R3531" s="74"/>
      <c r="S3531" s="74"/>
      <c r="T3531" s="74"/>
      <c r="U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  <c r="IW3531" s="74"/>
      <c r="IX3531" s="74"/>
      <c r="IY3531" s="74"/>
      <c r="IZ3531" s="74"/>
      <c r="JA3531" s="74"/>
    </row>
    <row r="3532" spans="1:261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Q3532" s="74"/>
      <c r="R3532" s="74"/>
      <c r="S3532" s="74"/>
      <c r="T3532" s="74"/>
      <c r="U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  <c r="IW3532" s="74"/>
      <c r="IX3532" s="74"/>
      <c r="IY3532" s="74"/>
      <c r="IZ3532" s="74"/>
      <c r="JA3532" s="74"/>
    </row>
    <row r="3533" spans="1:261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Q3533" s="74"/>
      <c r="R3533" s="74"/>
      <c r="S3533" s="74"/>
      <c r="T3533" s="74"/>
      <c r="U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  <c r="IW3533" s="74"/>
      <c r="IX3533" s="74"/>
      <c r="IY3533" s="74"/>
      <c r="IZ3533" s="74"/>
      <c r="JA3533" s="74"/>
    </row>
    <row r="3534" spans="1:261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Q3534" s="74"/>
      <c r="R3534" s="74"/>
      <c r="S3534" s="74"/>
      <c r="T3534" s="74"/>
      <c r="U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  <c r="IW3534" s="74"/>
      <c r="IX3534" s="74"/>
      <c r="IY3534" s="74"/>
      <c r="IZ3534" s="74"/>
      <c r="JA3534" s="74"/>
    </row>
    <row r="3535" spans="1:261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Q3535" s="74"/>
      <c r="R3535" s="74"/>
      <c r="S3535" s="74"/>
      <c r="T3535" s="74"/>
      <c r="U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  <c r="IW3535" s="74"/>
      <c r="IX3535" s="74"/>
      <c r="IY3535" s="74"/>
      <c r="IZ3535" s="74"/>
      <c r="JA3535" s="74"/>
    </row>
    <row r="3536" spans="1:261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Q3536" s="74"/>
      <c r="R3536" s="74"/>
      <c r="S3536" s="74"/>
      <c r="T3536" s="74"/>
      <c r="U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  <c r="IW3536" s="74"/>
      <c r="IX3536" s="74"/>
      <c r="IY3536" s="74"/>
      <c r="IZ3536" s="74"/>
      <c r="JA3536" s="74"/>
    </row>
    <row r="3537" spans="1:261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Q3537" s="74"/>
      <c r="R3537" s="74"/>
      <c r="S3537" s="74"/>
      <c r="T3537" s="74"/>
      <c r="U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  <c r="IW3537" s="74"/>
      <c r="IX3537" s="74"/>
      <c r="IY3537" s="74"/>
      <c r="IZ3537" s="74"/>
      <c r="JA3537" s="74"/>
    </row>
    <row r="3538" spans="1:261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Q3538" s="74"/>
      <c r="R3538" s="74"/>
      <c r="S3538" s="74"/>
      <c r="T3538" s="74"/>
      <c r="U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  <c r="IW3538" s="74"/>
      <c r="IX3538" s="74"/>
      <c r="IY3538" s="74"/>
      <c r="IZ3538" s="74"/>
      <c r="JA3538" s="74"/>
    </row>
    <row r="3539" spans="1:261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Q3539" s="74"/>
      <c r="R3539" s="74"/>
      <c r="S3539" s="74"/>
      <c r="T3539" s="74"/>
      <c r="U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  <c r="IW3539" s="74"/>
      <c r="IX3539" s="74"/>
      <c r="IY3539" s="74"/>
      <c r="IZ3539" s="74"/>
      <c r="JA3539" s="74"/>
    </row>
    <row r="3540" spans="1:261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Q3540" s="74"/>
      <c r="R3540" s="74"/>
      <c r="S3540" s="74"/>
      <c r="T3540" s="74"/>
      <c r="U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  <c r="IW3540" s="74"/>
      <c r="IX3540" s="74"/>
      <c r="IY3540" s="74"/>
      <c r="IZ3540" s="74"/>
      <c r="JA3540" s="74"/>
    </row>
    <row r="3541" spans="1:261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Q3541" s="74"/>
      <c r="R3541" s="74"/>
      <c r="S3541" s="74"/>
      <c r="T3541" s="74"/>
      <c r="U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  <c r="IW3541" s="74"/>
      <c r="IX3541" s="74"/>
      <c r="IY3541" s="74"/>
      <c r="IZ3541" s="74"/>
      <c r="JA3541" s="74"/>
    </row>
    <row r="3542" spans="1:261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Q3542" s="74"/>
      <c r="R3542" s="74"/>
      <c r="S3542" s="74"/>
      <c r="T3542" s="74"/>
      <c r="U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  <c r="IW3542" s="74"/>
      <c r="IX3542" s="74"/>
      <c r="IY3542" s="74"/>
      <c r="IZ3542" s="74"/>
      <c r="JA3542" s="74"/>
    </row>
    <row r="3543" spans="1:261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Q3543" s="74"/>
      <c r="R3543" s="74"/>
      <c r="S3543" s="74"/>
      <c r="T3543" s="74"/>
      <c r="U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  <c r="IW3543" s="74"/>
      <c r="IX3543" s="74"/>
      <c r="IY3543" s="74"/>
      <c r="IZ3543" s="74"/>
      <c r="JA3543" s="74"/>
    </row>
    <row r="3544" spans="1:261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Q3544" s="74"/>
      <c r="R3544" s="74"/>
      <c r="S3544" s="74"/>
      <c r="T3544" s="74"/>
      <c r="U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  <c r="IW3544" s="74"/>
      <c r="IX3544" s="74"/>
      <c r="IY3544" s="74"/>
      <c r="IZ3544" s="74"/>
      <c r="JA3544" s="74"/>
    </row>
    <row r="3545" spans="1:261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Q3545" s="74"/>
      <c r="R3545" s="74"/>
      <c r="S3545" s="74"/>
      <c r="T3545" s="74"/>
      <c r="U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  <c r="IW3545" s="74"/>
      <c r="IX3545" s="74"/>
      <c r="IY3545" s="74"/>
      <c r="IZ3545" s="74"/>
      <c r="JA3545" s="74"/>
    </row>
    <row r="3546" spans="1:261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Q3546" s="74"/>
      <c r="R3546" s="74"/>
      <c r="S3546" s="74"/>
      <c r="T3546" s="74"/>
      <c r="U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  <c r="IW3546" s="74"/>
      <c r="IX3546" s="74"/>
      <c r="IY3546" s="74"/>
      <c r="IZ3546" s="74"/>
      <c r="JA3546" s="74"/>
    </row>
    <row r="3547" spans="1:261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Q3547" s="74"/>
      <c r="R3547" s="74"/>
      <c r="S3547" s="74"/>
      <c r="T3547" s="74"/>
      <c r="U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  <c r="IW3547" s="74"/>
      <c r="IX3547" s="74"/>
      <c r="IY3547" s="74"/>
      <c r="IZ3547" s="74"/>
      <c r="JA3547" s="74"/>
    </row>
    <row r="3548" spans="1:261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Q3548" s="74"/>
      <c r="R3548" s="74"/>
      <c r="S3548" s="74"/>
      <c r="T3548" s="74"/>
      <c r="U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  <c r="IW3548" s="74"/>
      <c r="IX3548" s="74"/>
      <c r="IY3548" s="74"/>
      <c r="IZ3548" s="74"/>
      <c r="JA3548" s="74"/>
    </row>
    <row r="3549" spans="1:261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Q3549" s="74"/>
      <c r="R3549" s="74"/>
      <c r="S3549" s="74"/>
      <c r="T3549" s="74"/>
      <c r="U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  <c r="IW3549" s="74"/>
      <c r="IX3549" s="74"/>
      <c r="IY3549" s="74"/>
      <c r="IZ3549" s="74"/>
      <c r="JA3549" s="74"/>
    </row>
    <row r="3550" spans="1:261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Q3550" s="74"/>
      <c r="R3550" s="74"/>
      <c r="S3550" s="74"/>
      <c r="T3550" s="74"/>
      <c r="U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  <c r="IW3550" s="74"/>
      <c r="IX3550" s="74"/>
      <c r="IY3550" s="74"/>
      <c r="IZ3550" s="74"/>
      <c r="JA3550" s="74"/>
    </row>
    <row r="3551" spans="1:261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Q3551" s="74"/>
      <c r="R3551" s="74"/>
      <c r="S3551" s="74"/>
      <c r="T3551" s="74"/>
      <c r="U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  <c r="IW3551" s="74"/>
      <c r="IX3551" s="74"/>
      <c r="IY3551" s="74"/>
      <c r="IZ3551" s="74"/>
      <c r="JA3551" s="74"/>
    </row>
    <row r="3552" spans="1:261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Q3552" s="74"/>
      <c r="R3552" s="74"/>
      <c r="S3552" s="74"/>
      <c r="T3552" s="74"/>
      <c r="U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  <c r="IW3552" s="74"/>
      <c r="IX3552" s="74"/>
      <c r="IY3552" s="74"/>
      <c r="IZ3552" s="74"/>
      <c r="JA3552" s="74"/>
    </row>
    <row r="3553" spans="1:261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Q3553" s="74"/>
      <c r="R3553" s="74"/>
      <c r="S3553" s="74"/>
      <c r="T3553" s="74"/>
      <c r="U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  <c r="IW3553" s="74"/>
      <c r="IX3553" s="74"/>
      <c r="IY3553" s="74"/>
      <c r="IZ3553" s="74"/>
      <c r="JA3553" s="74"/>
    </row>
    <row r="3554" spans="1:261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Q3554" s="74"/>
      <c r="R3554" s="74"/>
      <c r="S3554" s="74"/>
      <c r="T3554" s="74"/>
      <c r="U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  <c r="IW3554" s="74"/>
      <c r="IX3554" s="74"/>
      <c r="IY3554" s="74"/>
      <c r="IZ3554" s="74"/>
      <c r="JA3554" s="74"/>
    </row>
    <row r="3555" spans="1:261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Q3555" s="74"/>
      <c r="R3555" s="74"/>
      <c r="S3555" s="74"/>
      <c r="T3555" s="74"/>
      <c r="U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  <c r="IW3555" s="74"/>
      <c r="IX3555" s="74"/>
      <c r="IY3555" s="74"/>
      <c r="IZ3555" s="74"/>
      <c r="JA3555" s="74"/>
    </row>
    <row r="3556" spans="1:261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Q3556" s="74"/>
      <c r="R3556" s="74"/>
      <c r="S3556" s="74"/>
      <c r="T3556" s="74"/>
      <c r="U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  <c r="IW3556" s="74"/>
      <c r="IX3556" s="74"/>
      <c r="IY3556" s="74"/>
      <c r="IZ3556" s="74"/>
      <c r="JA3556" s="74"/>
    </row>
    <row r="3557" spans="1:261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Q3557" s="74"/>
      <c r="R3557" s="74"/>
      <c r="S3557" s="74"/>
      <c r="T3557" s="74"/>
      <c r="U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  <c r="IW3557" s="74"/>
      <c r="IX3557" s="74"/>
      <c r="IY3557" s="74"/>
      <c r="IZ3557" s="74"/>
      <c r="JA3557" s="74"/>
    </row>
    <row r="3558" spans="1:261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Q3558" s="74"/>
      <c r="R3558" s="74"/>
      <c r="S3558" s="74"/>
      <c r="T3558" s="74"/>
      <c r="U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  <c r="IW3558" s="74"/>
      <c r="IX3558" s="74"/>
      <c r="IY3558" s="74"/>
      <c r="IZ3558" s="74"/>
      <c r="JA3558" s="74"/>
    </row>
    <row r="3559" spans="1:261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Q3559" s="74"/>
      <c r="R3559" s="74"/>
      <c r="S3559" s="74"/>
      <c r="T3559" s="74"/>
      <c r="U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  <c r="IW3559" s="74"/>
      <c r="IX3559" s="74"/>
      <c r="IY3559" s="74"/>
      <c r="IZ3559" s="74"/>
      <c r="JA3559" s="74"/>
    </row>
    <row r="3560" spans="1:261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Q3560" s="74"/>
      <c r="R3560" s="74"/>
      <c r="S3560" s="74"/>
      <c r="T3560" s="74"/>
      <c r="U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  <c r="IW3560" s="74"/>
      <c r="IX3560" s="74"/>
      <c r="IY3560" s="74"/>
      <c r="IZ3560" s="74"/>
      <c r="JA3560" s="74"/>
    </row>
    <row r="3561" spans="1:261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Q3561" s="74"/>
      <c r="R3561" s="74"/>
      <c r="S3561" s="74"/>
      <c r="T3561" s="74"/>
      <c r="U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  <c r="IW3561" s="74"/>
      <c r="IX3561" s="74"/>
      <c r="IY3561" s="74"/>
      <c r="IZ3561" s="74"/>
      <c r="JA3561" s="74"/>
    </row>
    <row r="3562" spans="1:261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Q3562" s="74"/>
      <c r="R3562" s="74"/>
      <c r="S3562" s="74"/>
      <c r="T3562" s="74"/>
      <c r="U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  <c r="IW3562" s="74"/>
      <c r="IX3562" s="74"/>
      <c r="IY3562" s="74"/>
      <c r="IZ3562" s="74"/>
      <c r="JA3562" s="74"/>
    </row>
    <row r="3563" spans="1:261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Q3563" s="74"/>
      <c r="R3563" s="74"/>
      <c r="S3563" s="74"/>
      <c r="T3563" s="74"/>
      <c r="U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  <c r="IW3563" s="74"/>
      <c r="IX3563" s="74"/>
      <c r="IY3563" s="74"/>
      <c r="IZ3563" s="74"/>
      <c r="JA3563" s="74"/>
    </row>
    <row r="3564" spans="1:261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Q3564" s="74"/>
      <c r="R3564" s="74"/>
      <c r="S3564" s="74"/>
      <c r="T3564" s="74"/>
      <c r="U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  <c r="IW3564" s="74"/>
      <c r="IX3564" s="74"/>
      <c r="IY3564" s="74"/>
      <c r="IZ3564" s="74"/>
      <c r="JA3564" s="74"/>
    </row>
    <row r="3565" spans="1:261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Q3565" s="74"/>
      <c r="R3565" s="74"/>
      <c r="S3565" s="74"/>
      <c r="T3565" s="74"/>
      <c r="U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  <c r="IW3565" s="74"/>
      <c r="IX3565" s="74"/>
      <c r="IY3565" s="74"/>
      <c r="IZ3565" s="74"/>
      <c r="JA3565" s="74"/>
    </row>
    <row r="3566" spans="1:261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Q3566" s="74"/>
      <c r="R3566" s="74"/>
      <c r="S3566" s="74"/>
      <c r="T3566" s="74"/>
      <c r="U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  <c r="IW3566" s="74"/>
      <c r="IX3566" s="74"/>
      <c r="IY3566" s="74"/>
      <c r="IZ3566" s="74"/>
      <c r="JA3566" s="74"/>
    </row>
    <row r="3567" spans="1:261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Q3567" s="74"/>
      <c r="R3567" s="74"/>
      <c r="S3567" s="74"/>
      <c r="T3567" s="74"/>
      <c r="U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  <c r="IW3567" s="74"/>
      <c r="IX3567" s="74"/>
      <c r="IY3567" s="74"/>
      <c r="IZ3567" s="74"/>
      <c r="JA3567" s="74"/>
    </row>
    <row r="3568" spans="1:261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Q3568" s="74"/>
      <c r="R3568" s="74"/>
      <c r="S3568" s="74"/>
      <c r="T3568" s="74"/>
      <c r="U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  <c r="IW3568" s="74"/>
      <c r="IX3568" s="74"/>
      <c r="IY3568" s="74"/>
      <c r="IZ3568" s="74"/>
      <c r="JA3568" s="74"/>
    </row>
    <row r="3569" spans="1:261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Q3569" s="74"/>
      <c r="R3569" s="74"/>
      <c r="S3569" s="74"/>
      <c r="T3569" s="74"/>
      <c r="U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  <c r="IW3569" s="74"/>
      <c r="IX3569" s="74"/>
      <c r="IY3569" s="74"/>
      <c r="IZ3569" s="74"/>
      <c r="JA3569" s="74"/>
    </row>
    <row r="3570" spans="1:261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Q3570" s="74"/>
      <c r="R3570" s="74"/>
      <c r="S3570" s="74"/>
      <c r="T3570" s="74"/>
      <c r="U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  <c r="IW3570" s="74"/>
      <c r="IX3570" s="74"/>
      <c r="IY3570" s="74"/>
      <c r="IZ3570" s="74"/>
      <c r="JA3570" s="74"/>
    </row>
    <row r="3571" spans="1:261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Q3571" s="74"/>
      <c r="R3571" s="74"/>
      <c r="S3571" s="74"/>
      <c r="T3571" s="74"/>
      <c r="U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  <c r="IW3571" s="74"/>
      <c r="IX3571" s="74"/>
      <c r="IY3571" s="74"/>
      <c r="IZ3571" s="74"/>
      <c r="JA3571" s="74"/>
    </row>
    <row r="3572" spans="1:261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Q3572" s="74"/>
      <c r="R3572" s="74"/>
      <c r="S3572" s="74"/>
      <c r="T3572" s="74"/>
      <c r="U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  <c r="IW3572" s="74"/>
      <c r="IX3572" s="74"/>
      <c r="IY3572" s="74"/>
      <c r="IZ3572" s="74"/>
      <c r="JA3572" s="74"/>
    </row>
    <row r="3573" spans="1:261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Q3573" s="74"/>
      <c r="R3573" s="74"/>
      <c r="S3573" s="74"/>
      <c r="T3573" s="74"/>
      <c r="U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  <c r="IW3573" s="74"/>
      <c r="IX3573" s="74"/>
      <c r="IY3573" s="74"/>
      <c r="IZ3573" s="74"/>
      <c r="JA3573" s="74"/>
    </row>
    <row r="3574" spans="1:261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Q3574" s="74"/>
      <c r="R3574" s="74"/>
      <c r="S3574" s="74"/>
      <c r="T3574" s="74"/>
      <c r="U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  <c r="IW3574" s="74"/>
      <c r="IX3574" s="74"/>
      <c r="IY3574" s="74"/>
      <c r="IZ3574" s="74"/>
      <c r="JA3574" s="74"/>
    </row>
    <row r="3575" spans="1:261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Q3575" s="74"/>
      <c r="R3575" s="74"/>
      <c r="S3575" s="74"/>
      <c r="T3575" s="74"/>
      <c r="U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  <c r="IW3575" s="74"/>
      <c r="IX3575" s="74"/>
      <c r="IY3575" s="74"/>
      <c r="IZ3575" s="74"/>
      <c r="JA3575" s="74"/>
    </row>
    <row r="3576" spans="1:261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Q3576" s="74"/>
      <c r="R3576" s="74"/>
      <c r="S3576" s="74"/>
      <c r="T3576" s="74"/>
      <c r="U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  <c r="IW3576" s="74"/>
      <c r="IX3576" s="74"/>
      <c r="IY3576" s="74"/>
      <c r="IZ3576" s="74"/>
      <c r="JA3576" s="74"/>
    </row>
    <row r="3577" spans="1:261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Q3577" s="74"/>
      <c r="R3577" s="74"/>
      <c r="S3577" s="74"/>
      <c r="T3577" s="74"/>
      <c r="U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  <c r="IW3577" s="74"/>
      <c r="IX3577" s="74"/>
      <c r="IY3577" s="74"/>
      <c r="IZ3577" s="74"/>
      <c r="JA3577" s="74"/>
    </row>
    <row r="3578" spans="1:261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Q3578" s="74"/>
      <c r="R3578" s="74"/>
      <c r="S3578" s="74"/>
      <c r="T3578" s="74"/>
      <c r="U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  <c r="IW3578" s="74"/>
      <c r="IX3578" s="74"/>
      <c r="IY3578" s="74"/>
      <c r="IZ3578" s="74"/>
      <c r="JA3578" s="74"/>
    </row>
    <row r="3579" spans="1:261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Q3579" s="74"/>
      <c r="R3579" s="74"/>
      <c r="S3579" s="74"/>
      <c r="T3579" s="74"/>
      <c r="U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  <c r="IW3579" s="74"/>
      <c r="IX3579" s="74"/>
      <c r="IY3579" s="74"/>
      <c r="IZ3579" s="74"/>
      <c r="JA3579" s="74"/>
    </row>
    <row r="3580" spans="1:261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Q3580" s="74"/>
      <c r="R3580" s="74"/>
      <c r="S3580" s="74"/>
      <c r="T3580" s="74"/>
      <c r="U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  <c r="IW3580" s="74"/>
      <c r="IX3580" s="74"/>
      <c r="IY3580" s="74"/>
      <c r="IZ3580" s="74"/>
      <c r="JA3580" s="74"/>
    </row>
    <row r="3581" spans="1:261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Q3581" s="74"/>
      <c r="R3581" s="74"/>
      <c r="S3581" s="74"/>
      <c r="T3581" s="74"/>
      <c r="U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  <c r="IW3581" s="74"/>
      <c r="IX3581" s="74"/>
      <c r="IY3581" s="74"/>
      <c r="IZ3581" s="74"/>
      <c r="JA3581" s="74"/>
    </row>
    <row r="3582" spans="1:261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Q3582" s="74"/>
      <c r="R3582" s="74"/>
      <c r="S3582" s="74"/>
      <c r="T3582" s="74"/>
      <c r="U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  <c r="IW3582" s="74"/>
      <c r="IX3582" s="74"/>
      <c r="IY3582" s="74"/>
      <c r="IZ3582" s="74"/>
      <c r="JA3582" s="74"/>
    </row>
    <row r="3583" spans="1:261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Q3583" s="74"/>
      <c r="R3583" s="74"/>
      <c r="S3583" s="74"/>
      <c r="T3583" s="74"/>
      <c r="U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  <c r="IW3583" s="74"/>
      <c r="IX3583" s="74"/>
      <c r="IY3583" s="74"/>
      <c r="IZ3583" s="74"/>
      <c r="JA3583" s="74"/>
    </row>
    <row r="3584" spans="1:261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Q3584" s="74"/>
      <c r="R3584" s="74"/>
      <c r="S3584" s="74"/>
      <c r="T3584" s="74"/>
      <c r="U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  <c r="IW3584" s="74"/>
      <c r="IX3584" s="74"/>
      <c r="IY3584" s="74"/>
      <c r="IZ3584" s="74"/>
      <c r="JA3584" s="74"/>
    </row>
    <row r="3585" spans="1:261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Q3585" s="74"/>
      <c r="R3585" s="74"/>
      <c r="S3585" s="74"/>
      <c r="T3585" s="74"/>
      <c r="U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  <c r="IW3585" s="74"/>
      <c r="IX3585" s="74"/>
      <c r="IY3585" s="74"/>
      <c r="IZ3585" s="74"/>
      <c r="JA3585" s="74"/>
    </row>
    <row r="3586" spans="1:261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Q3586" s="74"/>
      <c r="R3586" s="74"/>
      <c r="S3586" s="74"/>
      <c r="T3586" s="74"/>
      <c r="U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  <c r="IW3586" s="74"/>
      <c r="IX3586" s="74"/>
      <c r="IY3586" s="74"/>
      <c r="IZ3586" s="74"/>
      <c r="JA3586" s="74"/>
    </row>
    <row r="3587" spans="1:261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Q3587" s="74"/>
      <c r="R3587" s="74"/>
      <c r="S3587" s="74"/>
      <c r="T3587" s="74"/>
      <c r="U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  <c r="IW3587" s="74"/>
      <c r="IX3587" s="74"/>
      <c r="IY3587" s="74"/>
      <c r="IZ3587" s="74"/>
      <c r="JA3587" s="74"/>
    </row>
    <row r="3588" spans="1:261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Q3588" s="74"/>
      <c r="R3588" s="74"/>
      <c r="S3588" s="74"/>
      <c r="T3588" s="74"/>
      <c r="U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  <c r="IW3588" s="74"/>
      <c r="IX3588" s="74"/>
      <c r="IY3588" s="74"/>
      <c r="IZ3588" s="74"/>
      <c r="JA3588" s="74"/>
    </row>
    <row r="3589" spans="1:261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Q3589" s="74"/>
      <c r="R3589" s="74"/>
      <c r="S3589" s="74"/>
      <c r="T3589" s="74"/>
      <c r="U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  <c r="IW3589" s="74"/>
      <c r="IX3589" s="74"/>
      <c r="IY3589" s="74"/>
      <c r="IZ3589" s="74"/>
      <c r="JA3589" s="74"/>
    </row>
    <row r="3590" spans="1:261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Q3590" s="74"/>
      <c r="R3590" s="74"/>
      <c r="S3590" s="74"/>
      <c r="T3590" s="74"/>
      <c r="U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  <c r="IW3590" s="74"/>
      <c r="IX3590" s="74"/>
      <c r="IY3590" s="74"/>
      <c r="IZ3590" s="74"/>
      <c r="JA3590" s="74"/>
    </row>
    <row r="3591" spans="1:261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Q3591" s="74"/>
      <c r="R3591" s="74"/>
      <c r="S3591" s="74"/>
      <c r="T3591" s="74"/>
      <c r="U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  <c r="IW3591" s="74"/>
      <c r="IX3591" s="74"/>
      <c r="IY3591" s="74"/>
      <c r="IZ3591" s="74"/>
      <c r="JA3591" s="74"/>
    </row>
    <row r="3592" spans="1:261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Q3592" s="74"/>
      <c r="R3592" s="74"/>
      <c r="S3592" s="74"/>
      <c r="T3592" s="74"/>
      <c r="U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  <c r="IW3592" s="74"/>
      <c r="IX3592" s="74"/>
      <c r="IY3592" s="74"/>
      <c r="IZ3592" s="74"/>
      <c r="JA3592" s="74"/>
    </row>
    <row r="3593" spans="1:261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Q3593" s="74"/>
      <c r="R3593" s="74"/>
      <c r="S3593" s="74"/>
      <c r="T3593" s="74"/>
      <c r="U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  <c r="IW3593" s="74"/>
      <c r="IX3593" s="74"/>
      <c r="IY3593" s="74"/>
      <c r="IZ3593" s="74"/>
      <c r="JA3593" s="74"/>
    </row>
    <row r="3594" spans="1:261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Q3594" s="74"/>
      <c r="R3594" s="74"/>
      <c r="S3594" s="74"/>
      <c r="T3594" s="74"/>
      <c r="U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  <c r="IW3594" s="74"/>
      <c r="IX3594" s="74"/>
      <c r="IY3594" s="74"/>
      <c r="IZ3594" s="74"/>
      <c r="JA3594" s="74"/>
    </row>
    <row r="3595" spans="1:261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Q3595" s="74"/>
      <c r="R3595" s="74"/>
      <c r="S3595" s="74"/>
      <c r="T3595" s="74"/>
      <c r="U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  <c r="IW3595" s="74"/>
      <c r="IX3595" s="74"/>
      <c r="IY3595" s="74"/>
      <c r="IZ3595" s="74"/>
      <c r="JA3595" s="74"/>
    </row>
    <row r="3596" spans="1:261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Q3596" s="74"/>
      <c r="R3596" s="74"/>
      <c r="S3596" s="74"/>
      <c r="T3596" s="74"/>
      <c r="U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  <c r="IW3596" s="74"/>
      <c r="IX3596" s="74"/>
      <c r="IY3596" s="74"/>
      <c r="IZ3596" s="74"/>
      <c r="JA3596" s="74"/>
    </row>
    <row r="3597" spans="1:261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Q3597" s="74"/>
      <c r="R3597" s="74"/>
      <c r="S3597" s="74"/>
      <c r="T3597" s="74"/>
      <c r="U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  <c r="IW3597" s="74"/>
      <c r="IX3597" s="74"/>
      <c r="IY3597" s="74"/>
      <c r="IZ3597" s="74"/>
      <c r="JA3597" s="74"/>
    </row>
    <row r="3598" spans="1:261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Q3598" s="74"/>
      <c r="R3598" s="74"/>
      <c r="S3598" s="74"/>
      <c r="T3598" s="74"/>
      <c r="U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  <c r="IW3598" s="74"/>
      <c r="IX3598" s="74"/>
      <c r="IY3598" s="74"/>
      <c r="IZ3598" s="74"/>
      <c r="JA3598" s="74"/>
    </row>
    <row r="3599" spans="1:261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Q3599" s="74"/>
      <c r="R3599" s="74"/>
      <c r="S3599" s="74"/>
      <c r="T3599" s="74"/>
      <c r="U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  <c r="IW3599" s="74"/>
      <c r="IX3599" s="74"/>
      <c r="IY3599" s="74"/>
      <c r="IZ3599" s="74"/>
      <c r="JA3599" s="74"/>
    </row>
    <row r="3600" spans="1:261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Q3600" s="74"/>
      <c r="R3600" s="74"/>
      <c r="S3600" s="74"/>
      <c r="T3600" s="74"/>
      <c r="U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  <c r="IW3600" s="74"/>
      <c r="IX3600" s="74"/>
      <c r="IY3600" s="74"/>
      <c r="IZ3600" s="74"/>
      <c r="JA3600" s="74"/>
    </row>
    <row r="3601" spans="1:261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Q3601" s="74"/>
      <c r="R3601" s="74"/>
      <c r="S3601" s="74"/>
      <c r="T3601" s="74"/>
      <c r="U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  <c r="IW3601" s="74"/>
      <c r="IX3601" s="74"/>
      <c r="IY3601" s="74"/>
      <c r="IZ3601" s="74"/>
      <c r="JA3601" s="74"/>
    </row>
    <row r="3602" spans="1:261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Q3602" s="74"/>
      <c r="R3602" s="74"/>
      <c r="S3602" s="74"/>
      <c r="T3602" s="74"/>
      <c r="U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  <c r="IW3602" s="74"/>
      <c r="IX3602" s="74"/>
      <c r="IY3602" s="74"/>
      <c r="IZ3602" s="74"/>
      <c r="JA3602" s="74"/>
    </row>
    <row r="3603" spans="1:261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Q3603" s="74"/>
      <c r="R3603" s="74"/>
      <c r="S3603" s="74"/>
      <c r="T3603" s="74"/>
      <c r="U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  <c r="IW3603" s="74"/>
      <c r="IX3603" s="74"/>
      <c r="IY3603" s="74"/>
      <c r="IZ3603" s="74"/>
      <c r="JA3603" s="74"/>
    </row>
    <row r="3604" spans="1:261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Q3604" s="74"/>
      <c r="R3604" s="74"/>
      <c r="S3604" s="74"/>
      <c r="T3604" s="74"/>
      <c r="U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  <c r="IW3604" s="74"/>
      <c r="IX3604" s="74"/>
      <c r="IY3604" s="74"/>
      <c r="IZ3604" s="74"/>
      <c r="JA3604" s="74"/>
    </row>
    <row r="3605" spans="1:261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Q3605" s="74"/>
      <c r="R3605" s="74"/>
      <c r="S3605" s="74"/>
      <c r="T3605" s="74"/>
      <c r="U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  <c r="IW3605" s="74"/>
      <c r="IX3605" s="74"/>
      <c r="IY3605" s="74"/>
      <c r="IZ3605" s="74"/>
      <c r="JA3605" s="74"/>
    </row>
    <row r="3606" spans="1:261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Q3606" s="74"/>
      <c r="R3606" s="74"/>
      <c r="S3606" s="74"/>
      <c r="T3606" s="74"/>
      <c r="U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  <c r="IW3606" s="74"/>
      <c r="IX3606" s="74"/>
      <c r="IY3606" s="74"/>
      <c r="IZ3606" s="74"/>
      <c r="JA3606" s="74"/>
    </row>
    <row r="3607" spans="1:261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Q3607" s="74"/>
      <c r="R3607" s="74"/>
      <c r="S3607" s="74"/>
      <c r="T3607" s="74"/>
      <c r="U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  <c r="IW3607" s="74"/>
      <c r="IX3607" s="74"/>
      <c r="IY3607" s="74"/>
      <c r="IZ3607" s="74"/>
      <c r="JA3607" s="74"/>
    </row>
    <row r="3608" spans="1:261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Q3608" s="74"/>
      <c r="R3608" s="74"/>
      <c r="S3608" s="74"/>
      <c r="T3608" s="74"/>
      <c r="U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  <c r="IW3608" s="74"/>
      <c r="IX3608" s="74"/>
      <c r="IY3608" s="74"/>
      <c r="IZ3608" s="74"/>
      <c r="JA3608" s="74"/>
    </row>
    <row r="3609" spans="1:261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Q3609" s="74"/>
      <c r="R3609" s="74"/>
      <c r="S3609" s="74"/>
      <c r="T3609" s="74"/>
      <c r="U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  <c r="IW3609" s="74"/>
      <c r="IX3609" s="74"/>
      <c r="IY3609" s="74"/>
      <c r="IZ3609" s="74"/>
      <c r="JA3609" s="74"/>
    </row>
    <row r="3610" spans="1:261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Q3610" s="74"/>
      <c r="R3610" s="74"/>
      <c r="S3610" s="74"/>
      <c r="T3610" s="74"/>
      <c r="U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  <c r="IW3610" s="74"/>
      <c r="IX3610" s="74"/>
      <c r="IY3610" s="74"/>
      <c r="IZ3610" s="74"/>
      <c r="JA3610" s="74"/>
    </row>
    <row r="3611" spans="1:261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Q3611" s="74"/>
      <c r="R3611" s="74"/>
      <c r="S3611" s="74"/>
      <c r="T3611" s="74"/>
      <c r="U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  <c r="IW3611" s="74"/>
      <c r="IX3611" s="74"/>
      <c r="IY3611" s="74"/>
      <c r="IZ3611" s="74"/>
      <c r="JA3611" s="74"/>
    </row>
    <row r="3612" spans="1:261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Q3612" s="74"/>
      <c r="R3612" s="74"/>
      <c r="S3612" s="74"/>
      <c r="T3612" s="74"/>
      <c r="U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  <c r="IW3612" s="74"/>
      <c r="IX3612" s="74"/>
      <c r="IY3612" s="74"/>
      <c r="IZ3612" s="74"/>
      <c r="JA3612" s="74"/>
    </row>
    <row r="3613" spans="1:261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Q3613" s="74"/>
      <c r="R3613" s="74"/>
      <c r="S3613" s="74"/>
      <c r="T3613" s="74"/>
      <c r="U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  <c r="IW3613" s="74"/>
      <c r="IX3613" s="74"/>
      <c r="IY3613" s="74"/>
      <c r="IZ3613" s="74"/>
      <c r="JA3613" s="74"/>
    </row>
    <row r="3614" spans="1:261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Q3614" s="74"/>
      <c r="R3614" s="74"/>
      <c r="S3614" s="74"/>
      <c r="T3614" s="74"/>
      <c r="U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  <c r="IW3614" s="74"/>
      <c r="IX3614" s="74"/>
      <c r="IY3614" s="74"/>
      <c r="IZ3614" s="74"/>
      <c r="JA3614" s="74"/>
    </row>
    <row r="3615" spans="1:261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Q3615" s="74"/>
      <c r="R3615" s="74"/>
      <c r="S3615" s="74"/>
      <c r="T3615" s="74"/>
      <c r="U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  <c r="IW3615" s="74"/>
      <c r="IX3615" s="74"/>
      <c r="IY3615" s="74"/>
      <c r="IZ3615" s="74"/>
      <c r="JA3615" s="74"/>
    </row>
    <row r="3616" spans="1:261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Q3616" s="74"/>
      <c r="R3616" s="74"/>
      <c r="S3616" s="74"/>
      <c r="T3616" s="74"/>
      <c r="U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  <c r="IW3616" s="74"/>
      <c r="IX3616" s="74"/>
      <c r="IY3616" s="74"/>
      <c r="IZ3616" s="74"/>
      <c r="JA3616" s="74"/>
    </row>
    <row r="3617" spans="1:261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Q3617" s="74"/>
      <c r="R3617" s="74"/>
      <c r="S3617" s="74"/>
      <c r="T3617" s="74"/>
      <c r="U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  <c r="IW3617" s="74"/>
      <c r="IX3617" s="74"/>
      <c r="IY3617" s="74"/>
      <c r="IZ3617" s="74"/>
      <c r="JA3617" s="74"/>
    </row>
    <row r="3618" spans="1:261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Q3618" s="74"/>
      <c r="R3618" s="74"/>
      <c r="S3618" s="74"/>
      <c r="T3618" s="74"/>
      <c r="U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  <c r="IW3618" s="74"/>
      <c r="IX3618" s="74"/>
      <c r="IY3618" s="74"/>
      <c r="IZ3618" s="74"/>
      <c r="JA3618" s="74"/>
    </row>
    <row r="3619" spans="1:261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Q3619" s="74"/>
      <c r="R3619" s="74"/>
      <c r="S3619" s="74"/>
      <c r="T3619" s="74"/>
      <c r="U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  <c r="IW3619" s="74"/>
      <c r="IX3619" s="74"/>
      <c r="IY3619" s="74"/>
      <c r="IZ3619" s="74"/>
      <c r="JA3619" s="74"/>
    </row>
    <row r="3620" spans="1:261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Q3620" s="74"/>
      <c r="R3620" s="74"/>
      <c r="S3620" s="74"/>
      <c r="T3620" s="74"/>
      <c r="U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  <c r="IW3620" s="74"/>
      <c r="IX3620" s="74"/>
      <c r="IY3620" s="74"/>
      <c r="IZ3620" s="74"/>
      <c r="JA3620" s="74"/>
    </row>
    <row r="3621" spans="1:261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Q3621" s="74"/>
      <c r="R3621" s="74"/>
      <c r="S3621" s="74"/>
      <c r="T3621" s="74"/>
      <c r="U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  <c r="IW3621" s="74"/>
      <c r="IX3621" s="74"/>
      <c r="IY3621" s="74"/>
      <c r="IZ3621" s="74"/>
      <c r="JA3621" s="74"/>
    </row>
    <row r="3622" spans="1:261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Q3622" s="74"/>
      <c r="R3622" s="74"/>
      <c r="S3622" s="74"/>
      <c r="T3622" s="74"/>
      <c r="U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  <c r="IW3622" s="74"/>
      <c r="IX3622" s="74"/>
      <c r="IY3622" s="74"/>
      <c r="IZ3622" s="74"/>
      <c r="JA3622" s="74"/>
    </row>
    <row r="3623" spans="1:261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Q3623" s="74"/>
      <c r="R3623" s="74"/>
      <c r="S3623" s="74"/>
      <c r="T3623" s="74"/>
      <c r="U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  <c r="IW3623" s="74"/>
      <c r="IX3623" s="74"/>
      <c r="IY3623" s="74"/>
      <c r="IZ3623" s="74"/>
      <c r="JA3623" s="74"/>
    </row>
    <row r="3624" spans="1:261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Q3624" s="74"/>
      <c r="R3624" s="74"/>
      <c r="S3624" s="74"/>
      <c r="T3624" s="74"/>
      <c r="U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  <c r="IW3624" s="74"/>
      <c r="IX3624" s="74"/>
      <c r="IY3624" s="74"/>
      <c r="IZ3624" s="74"/>
      <c r="JA3624" s="74"/>
    </row>
    <row r="3625" spans="1:261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Q3625" s="74"/>
      <c r="R3625" s="74"/>
      <c r="S3625" s="74"/>
      <c r="T3625" s="74"/>
      <c r="U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  <c r="IW3625" s="74"/>
      <c r="IX3625" s="74"/>
      <c r="IY3625" s="74"/>
      <c r="IZ3625" s="74"/>
      <c r="JA3625" s="74"/>
    </row>
    <row r="3626" spans="1:261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Q3626" s="74"/>
      <c r="R3626" s="74"/>
      <c r="S3626" s="74"/>
      <c r="T3626" s="74"/>
      <c r="U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  <c r="IW3626" s="74"/>
      <c r="IX3626" s="74"/>
      <c r="IY3626" s="74"/>
      <c r="IZ3626" s="74"/>
      <c r="JA3626" s="74"/>
    </row>
    <row r="3627" spans="1:261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Q3627" s="74"/>
      <c r="R3627" s="74"/>
      <c r="S3627" s="74"/>
      <c r="T3627" s="74"/>
      <c r="U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  <c r="IW3627" s="74"/>
      <c r="IX3627" s="74"/>
      <c r="IY3627" s="74"/>
      <c r="IZ3627" s="74"/>
      <c r="JA3627" s="74"/>
    </row>
    <row r="3628" spans="1:261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Q3628" s="74"/>
      <c r="R3628" s="74"/>
      <c r="S3628" s="74"/>
      <c r="T3628" s="74"/>
      <c r="U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  <c r="IW3628" s="74"/>
      <c r="IX3628" s="74"/>
      <c r="IY3628" s="74"/>
      <c r="IZ3628" s="74"/>
      <c r="JA3628" s="74"/>
    </row>
    <row r="3629" spans="1:261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Q3629" s="74"/>
      <c r="R3629" s="74"/>
      <c r="S3629" s="74"/>
      <c r="T3629" s="74"/>
      <c r="U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  <c r="IW3629" s="74"/>
      <c r="IX3629" s="74"/>
      <c r="IY3629" s="74"/>
      <c r="IZ3629" s="74"/>
      <c r="JA3629" s="74"/>
    </row>
    <row r="3630" spans="1:261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Q3630" s="74"/>
      <c r="R3630" s="74"/>
      <c r="S3630" s="74"/>
      <c r="T3630" s="74"/>
      <c r="U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  <c r="IW3630" s="74"/>
      <c r="IX3630" s="74"/>
      <c r="IY3630" s="74"/>
      <c r="IZ3630" s="74"/>
      <c r="JA3630" s="74"/>
    </row>
    <row r="3631" spans="1:261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Q3631" s="74"/>
      <c r="R3631" s="74"/>
      <c r="S3631" s="74"/>
      <c r="T3631" s="74"/>
      <c r="U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  <c r="IW3631" s="74"/>
      <c r="IX3631" s="74"/>
      <c r="IY3631" s="74"/>
      <c r="IZ3631" s="74"/>
      <c r="JA3631" s="74"/>
    </row>
    <row r="3632" spans="1:261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Q3632" s="74"/>
      <c r="R3632" s="74"/>
      <c r="S3632" s="74"/>
      <c r="T3632" s="74"/>
      <c r="U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  <c r="IW3632" s="74"/>
      <c r="IX3632" s="74"/>
      <c r="IY3632" s="74"/>
      <c r="IZ3632" s="74"/>
      <c r="JA3632" s="74"/>
    </row>
    <row r="3633" spans="1:261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Q3633" s="74"/>
      <c r="R3633" s="74"/>
      <c r="S3633" s="74"/>
      <c r="T3633" s="74"/>
      <c r="U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  <c r="IW3633" s="74"/>
      <c r="IX3633" s="74"/>
      <c r="IY3633" s="74"/>
      <c r="IZ3633" s="74"/>
      <c r="JA3633" s="74"/>
    </row>
    <row r="3634" spans="1:261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Q3634" s="74"/>
      <c r="R3634" s="74"/>
      <c r="S3634" s="74"/>
      <c r="T3634" s="74"/>
      <c r="U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  <c r="IW3634" s="74"/>
      <c r="IX3634" s="74"/>
      <c r="IY3634" s="74"/>
      <c r="IZ3634" s="74"/>
      <c r="JA3634" s="74"/>
    </row>
    <row r="3635" spans="1:261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Q3635" s="74"/>
      <c r="R3635" s="74"/>
      <c r="S3635" s="74"/>
      <c r="T3635" s="74"/>
      <c r="U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  <c r="IW3635" s="74"/>
      <c r="IX3635" s="74"/>
      <c r="IY3635" s="74"/>
      <c r="IZ3635" s="74"/>
      <c r="JA3635" s="74"/>
    </row>
    <row r="3636" spans="1:261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Q3636" s="74"/>
      <c r="R3636" s="74"/>
      <c r="S3636" s="74"/>
      <c r="T3636" s="74"/>
      <c r="U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  <c r="IW3636" s="74"/>
      <c r="IX3636" s="74"/>
      <c r="IY3636" s="74"/>
      <c r="IZ3636" s="74"/>
      <c r="JA3636" s="74"/>
    </row>
    <row r="3637" spans="1:261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Q3637" s="74"/>
      <c r="R3637" s="74"/>
      <c r="S3637" s="74"/>
      <c r="T3637" s="74"/>
      <c r="U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  <c r="IW3637" s="74"/>
      <c r="IX3637" s="74"/>
      <c r="IY3637" s="74"/>
      <c r="IZ3637" s="74"/>
      <c r="JA3637" s="74"/>
    </row>
    <row r="3638" spans="1:261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Q3638" s="74"/>
      <c r="R3638" s="74"/>
      <c r="S3638" s="74"/>
      <c r="T3638" s="74"/>
      <c r="U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  <c r="IW3638" s="74"/>
      <c r="IX3638" s="74"/>
      <c r="IY3638" s="74"/>
      <c r="IZ3638" s="74"/>
      <c r="JA3638" s="74"/>
    </row>
    <row r="3639" spans="1:261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Q3639" s="74"/>
      <c r="R3639" s="74"/>
      <c r="S3639" s="74"/>
      <c r="T3639" s="74"/>
      <c r="U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  <c r="IW3639" s="74"/>
      <c r="IX3639" s="74"/>
      <c r="IY3639" s="74"/>
      <c r="IZ3639" s="74"/>
      <c r="JA3639" s="74"/>
    </row>
    <row r="3640" spans="1:261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Q3640" s="74"/>
      <c r="R3640" s="74"/>
      <c r="S3640" s="74"/>
      <c r="T3640" s="74"/>
      <c r="U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  <c r="IW3640" s="74"/>
      <c r="IX3640" s="74"/>
      <c r="IY3640" s="74"/>
      <c r="IZ3640" s="74"/>
      <c r="JA3640" s="74"/>
    </row>
    <row r="3641" spans="1:261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Q3641" s="74"/>
      <c r="R3641" s="74"/>
      <c r="S3641" s="74"/>
      <c r="T3641" s="74"/>
      <c r="U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  <c r="IW3641" s="74"/>
      <c r="IX3641" s="74"/>
      <c r="IY3641" s="74"/>
      <c r="IZ3641" s="74"/>
      <c r="JA3641" s="74"/>
    </row>
    <row r="3642" spans="1:261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Q3642" s="74"/>
      <c r="R3642" s="74"/>
      <c r="S3642" s="74"/>
      <c r="T3642" s="74"/>
      <c r="U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  <c r="IW3642" s="74"/>
      <c r="IX3642" s="74"/>
      <c r="IY3642" s="74"/>
      <c r="IZ3642" s="74"/>
      <c r="JA3642" s="74"/>
    </row>
    <row r="3643" spans="1:261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Q3643" s="74"/>
      <c r="R3643" s="74"/>
      <c r="S3643" s="74"/>
      <c r="T3643" s="74"/>
      <c r="U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  <c r="IW3643" s="74"/>
      <c r="IX3643" s="74"/>
      <c r="IY3643" s="74"/>
      <c r="IZ3643" s="74"/>
      <c r="JA3643" s="74"/>
    </row>
    <row r="3644" spans="1:261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Q3644" s="74"/>
      <c r="R3644" s="74"/>
      <c r="S3644" s="74"/>
      <c r="T3644" s="74"/>
      <c r="U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  <c r="IW3644" s="74"/>
      <c r="IX3644" s="74"/>
      <c r="IY3644" s="74"/>
      <c r="IZ3644" s="74"/>
      <c r="JA3644" s="74"/>
    </row>
    <row r="3645" spans="1:261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Q3645" s="74"/>
      <c r="R3645" s="74"/>
      <c r="S3645" s="74"/>
      <c r="T3645" s="74"/>
      <c r="U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  <c r="IW3645" s="74"/>
      <c r="IX3645" s="74"/>
      <c r="IY3645" s="74"/>
      <c r="IZ3645" s="74"/>
      <c r="JA3645" s="74"/>
    </row>
    <row r="3646" spans="1:261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Q3646" s="74"/>
      <c r="R3646" s="74"/>
      <c r="S3646" s="74"/>
      <c r="T3646" s="74"/>
      <c r="U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  <c r="IW3646" s="74"/>
      <c r="IX3646" s="74"/>
      <c r="IY3646" s="74"/>
      <c r="IZ3646" s="74"/>
      <c r="JA3646" s="74"/>
    </row>
    <row r="3647" spans="1:261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Q3647" s="74"/>
      <c r="R3647" s="74"/>
      <c r="S3647" s="74"/>
      <c r="T3647" s="74"/>
      <c r="U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  <c r="IW3647" s="74"/>
      <c r="IX3647" s="74"/>
      <c r="IY3647" s="74"/>
      <c r="IZ3647" s="74"/>
      <c r="JA3647" s="74"/>
    </row>
    <row r="3648" spans="1:261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Q3648" s="74"/>
      <c r="R3648" s="74"/>
      <c r="S3648" s="74"/>
      <c r="T3648" s="74"/>
      <c r="U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  <c r="IW3648" s="74"/>
      <c r="IX3648" s="74"/>
      <c r="IY3648" s="74"/>
      <c r="IZ3648" s="74"/>
      <c r="JA3648" s="74"/>
    </row>
    <row r="3649" spans="1:261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Q3649" s="74"/>
      <c r="R3649" s="74"/>
      <c r="S3649" s="74"/>
      <c r="T3649" s="74"/>
      <c r="U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  <c r="IW3649" s="74"/>
      <c r="IX3649" s="74"/>
      <c r="IY3649" s="74"/>
      <c r="IZ3649" s="74"/>
      <c r="JA3649" s="74"/>
    </row>
    <row r="3650" spans="1:261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Q3650" s="74"/>
      <c r="R3650" s="74"/>
      <c r="S3650" s="74"/>
      <c r="T3650" s="74"/>
      <c r="U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  <c r="IW3650" s="74"/>
      <c r="IX3650" s="74"/>
      <c r="IY3650" s="74"/>
      <c r="IZ3650" s="74"/>
      <c r="JA3650" s="74"/>
    </row>
    <row r="3651" spans="1:261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Q3651" s="74"/>
      <c r="R3651" s="74"/>
      <c r="S3651" s="74"/>
      <c r="T3651" s="74"/>
      <c r="U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  <c r="IW3651" s="74"/>
      <c r="IX3651" s="74"/>
      <c r="IY3651" s="74"/>
      <c r="IZ3651" s="74"/>
      <c r="JA3651" s="74"/>
    </row>
    <row r="3652" spans="1:261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Q3652" s="74"/>
      <c r="R3652" s="74"/>
      <c r="S3652" s="74"/>
      <c r="T3652" s="74"/>
      <c r="U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  <c r="IW3652" s="74"/>
      <c r="IX3652" s="74"/>
      <c r="IY3652" s="74"/>
      <c r="IZ3652" s="74"/>
      <c r="JA3652" s="74"/>
    </row>
    <row r="3653" spans="1:261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Q3653" s="74"/>
      <c r="R3653" s="74"/>
      <c r="S3653" s="74"/>
      <c r="T3653" s="74"/>
      <c r="U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  <c r="IW3653" s="74"/>
      <c r="IX3653" s="74"/>
      <c r="IY3653" s="74"/>
      <c r="IZ3653" s="74"/>
      <c r="JA3653" s="74"/>
    </row>
    <row r="3654" spans="1:261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Q3654" s="74"/>
      <c r="R3654" s="74"/>
      <c r="S3654" s="74"/>
      <c r="T3654" s="74"/>
      <c r="U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  <c r="IW3654" s="74"/>
      <c r="IX3654" s="74"/>
      <c r="IY3654" s="74"/>
      <c r="IZ3654" s="74"/>
      <c r="JA3654" s="74"/>
    </row>
    <row r="3655" spans="1:261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Q3655" s="74"/>
      <c r="R3655" s="74"/>
      <c r="S3655" s="74"/>
      <c r="T3655" s="74"/>
      <c r="U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  <c r="IW3655" s="74"/>
      <c r="IX3655" s="74"/>
      <c r="IY3655" s="74"/>
      <c r="IZ3655" s="74"/>
      <c r="JA3655" s="74"/>
    </row>
    <row r="3656" spans="1:261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Q3656" s="74"/>
      <c r="R3656" s="74"/>
      <c r="S3656" s="74"/>
      <c r="T3656" s="74"/>
      <c r="U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  <c r="IW3656" s="74"/>
      <c r="IX3656" s="74"/>
      <c r="IY3656" s="74"/>
      <c r="IZ3656" s="74"/>
      <c r="JA3656" s="74"/>
    </row>
    <row r="3657" spans="1:261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Q3657" s="74"/>
      <c r="R3657" s="74"/>
      <c r="S3657" s="74"/>
      <c r="T3657" s="74"/>
      <c r="U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  <c r="IW3657" s="74"/>
      <c r="IX3657" s="74"/>
      <c r="IY3657" s="74"/>
      <c r="IZ3657" s="74"/>
      <c r="JA3657" s="74"/>
    </row>
    <row r="3658" spans="1:261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Q3658" s="74"/>
      <c r="R3658" s="74"/>
      <c r="S3658" s="74"/>
      <c r="T3658" s="74"/>
      <c r="U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  <c r="IW3658" s="74"/>
      <c r="IX3658" s="74"/>
      <c r="IY3658" s="74"/>
      <c r="IZ3658" s="74"/>
      <c r="JA3658" s="74"/>
    </row>
    <row r="3659" spans="1:261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Q3659" s="74"/>
      <c r="R3659" s="74"/>
      <c r="S3659" s="74"/>
      <c r="T3659" s="74"/>
      <c r="U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  <c r="IW3659" s="74"/>
      <c r="IX3659" s="74"/>
      <c r="IY3659" s="74"/>
      <c r="IZ3659" s="74"/>
      <c r="JA3659" s="74"/>
    </row>
    <row r="3660" spans="1:261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Q3660" s="74"/>
      <c r="R3660" s="74"/>
      <c r="S3660" s="74"/>
      <c r="T3660" s="74"/>
      <c r="U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  <c r="IW3660" s="74"/>
      <c r="IX3660" s="74"/>
      <c r="IY3660" s="74"/>
      <c r="IZ3660" s="74"/>
      <c r="JA3660" s="74"/>
    </row>
    <row r="3661" spans="1:261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Q3661" s="74"/>
      <c r="R3661" s="74"/>
      <c r="S3661" s="74"/>
      <c r="T3661" s="74"/>
      <c r="U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  <c r="IW3661" s="74"/>
      <c r="IX3661" s="74"/>
      <c r="IY3661" s="74"/>
      <c r="IZ3661" s="74"/>
      <c r="JA3661" s="74"/>
    </row>
    <row r="3662" spans="1:261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Q3662" s="74"/>
      <c r="R3662" s="74"/>
      <c r="S3662" s="74"/>
      <c r="T3662" s="74"/>
      <c r="U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  <c r="IW3662" s="74"/>
      <c r="IX3662" s="74"/>
      <c r="IY3662" s="74"/>
      <c r="IZ3662" s="74"/>
      <c r="JA3662" s="74"/>
    </row>
    <row r="3663" spans="1:261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Q3663" s="74"/>
      <c r="R3663" s="74"/>
      <c r="S3663" s="74"/>
      <c r="T3663" s="74"/>
      <c r="U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  <c r="IW3663" s="74"/>
      <c r="IX3663" s="74"/>
      <c r="IY3663" s="74"/>
      <c r="IZ3663" s="74"/>
      <c r="JA3663" s="74"/>
    </row>
    <row r="3664" spans="1:261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Q3664" s="74"/>
      <c r="R3664" s="74"/>
      <c r="S3664" s="74"/>
      <c r="T3664" s="74"/>
      <c r="U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  <c r="IW3664" s="74"/>
      <c r="IX3664" s="74"/>
      <c r="IY3664" s="74"/>
      <c r="IZ3664" s="74"/>
      <c r="JA3664" s="74"/>
    </row>
    <row r="3665" spans="1:261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Q3665" s="74"/>
      <c r="R3665" s="74"/>
      <c r="S3665" s="74"/>
      <c r="T3665" s="74"/>
      <c r="U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  <c r="IW3665" s="74"/>
      <c r="IX3665" s="74"/>
      <c r="IY3665" s="74"/>
      <c r="IZ3665" s="74"/>
      <c r="JA3665" s="74"/>
    </row>
    <row r="3666" spans="1:261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Q3666" s="74"/>
      <c r="R3666" s="74"/>
      <c r="S3666" s="74"/>
      <c r="T3666" s="74"/>
      <c r="U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  <c r="IW3666" s="74"/>
      <c r="IX3666" s="74"/>
      <c r="IY3666" s="74"/>
      <c r="IZ3666" s="74"/>
      <c r="JA3666" s="74"/>
    </row>
    <row r="3667" spans="1:261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Q3667" s="74"/>
      <c r="R3667" s="74"/>
      <c r="S3667" s="74"/>
      <c r="T3667" s="74"/>
      <c r="U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  <c r="IW3667" s="74"/>
      <c r="IX3667" s="74"/>
      <c r="IY3667" s="74"/>
      <c r="IZ3667" s="74"/>
      <c r="JA3667" s="74"/>
    </row>
    <row r="3668" spans="1:261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Q3668" s="74"/>
      <c r="R3668" s="74"/>
      <c r="S3668" s="74"/>
      <c r="T3668" s="74"/>
      <c r="U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  <c r="IW3668" s="74"/>
      <c r="IX3668" s="74"/>
      <c r="IY3668" s="74"/>
      <c r="IZ3668" s="74"/>
      <c r="JA3668" s="74"/>
    </row>
    <row r="3669" spans="1:261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Q3669" s="74"/>
      <c r="R3669" s="74"/>
      <c r="S3669" s="74"/>
      <c r="T3669" s="74"/>
      <c r="U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  <c r="IW3669" s="74"/>
      <c r="IX3669" s="74"/>
      <c r="IY3669" s="74"/>
      <c r="IZ3669" s="74"/>
      <c r="JA3669" s="74"/>
    </row>
    <row r="3670" spans="1:261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Q3670" s="74"/>
      <c r="R3670" s="74"/>
      <c r="S3670" s="74"/>
      <c r="T3670" s="74"/>
      <c r="U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  <c r="IW3670" s="74"/>
      <c r="IX3670" s="74"/>
      <c r="IY3670" s="74"/>
      <c r="IZ3670" s="74"/>
      <c r="JA3670" s="74"/>
    </row>
    <row r="3671" spans="1:261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Q3671" s="74"/>
      <c r="R3671" s="74"/>
      <c r="S3671" s="74"/>
      <c r="T3671" s="74"/>
      <c r="U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  <c r="IW3671" s="74"/>
      <c r="IX3671" s="74"/>
      <c r="IY3671" s="74"/>
      <c r="IZ3671" s="74"/>
      <c r="JA3671" s="74"/>
    </row>
    <row r="3672" spans="1:261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Q3672" s="74"/>
      <c r="R3672" s="74"/>
      <c r="S3672" s="74"/>
      <c r="T3672" s="74"/>
      <c r="U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  <c r="IW3672" s="74"/>
      <c r="IX3672" s="74"/>
      <c r="IY3672" s="74"/>
      <c r="IZ3672" s="74"/>
      <c r="JA3672" s="74"/>
    </row>
    <row r="3673" spans="1:261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Q3673" s="74"/>
      <c r="R3673" s="74"/>
      <c r="S3673" s="74"/>
      <c r="T3673" s="74"/>
      <c r="U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  <c r="IW3673" s="74"/>
      <c r="IX3673" s="74"/>
      <c r="IY3673" s="74"/>
      <c r="IZ3673" s="74"/>
      <c r="JA3673" s="74"/>
    </row>
    <row r="3674" spans="1:261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Q3674" s="74"/>
      <c r="R3674" s="74"/>
      <c r="S3674" s="74"/>
      <c r="T3674" s="74"/>
      <c r="U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  <c r="IW3674" s="74"/>
      <c r="IX3674" s="74"/>
      <c r="IY3674" s="74"/>
      <c r="IZ3674" s="74"/>
      <c r="JA3674" s="74"/>
    </row>
    <row r="3675" spans="1:261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Q3675" s="74"/>
      <c r="R3675" s="74"/>
      <c r="S3675" s="74"/>
      <c r="T3675" s="74"/>
      <c r="U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  <c r="IW3675" s="74"/>
      <c r="IX3675" s="74"/>
      <c r="IY3675" s="74"/>
      <c r="IZ3675" s="74"/>
      <c r="JA3675" s="74"/>
    </row>
    <row r="3676" spans="1:261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Q3676" s="74"/>
      <c r="R3676" s="74"/>
      <c r="S3676" s="74"/>
      <c r="T3676" s="74"/>
      <c r="U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  <c r="IW3676" s="74"/>
      <c r="IX3676" s="74"/>
      <c r="IY3676" s="74"/>
      <c r="IZ3676" s="74"/>
      <c r="JA3676" s="74"/>
    </row>
    <row r="3677" spans="1:261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Q3677" s="74"/>
      <c r="R3677" s="74"/>
      <c r="S3677" s="74"/>
      <c r="T3677" s="74"/>
      <c r="U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  <c r="IW3677" s="74"/>
      <c r="IX3677" s="74"/>
      <c r="IY3677" s="74"/>
      <c r="IZ3677" s="74"/>
      <c r="JA3677" s="74"/>
    </row>
    <row r="3678" spans="1:261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Q3678" s="74"/>
      <c r="R3678" s="74"/>
      <c r="S3678" s="74"/>
      <c r="T3678" s="74"/>
      <c r="U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  <c r="IW3678" s="74"/>
      <c r="IX3678" s="74"/>
      <c r="IY3678" s="74"/>
      <c r="IZ3678" s="74"/>
      <c r="JA3678" s="74"/>
    </row>
    <row r="3679" spans="1:261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Q3679" s="74"/>
      <c r="R3679" s="74"/>
      <c r="S3679" s="74"/>
      <c r="T3679" s="74"/>
      <c r="U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  <c r="IW3679" s="74"/>
      <c r="IX3679" s="74"/>
      <c r="IY3679" s="74"/>
      <c r="IZ3679" s="74"/>
      <c r="JA3679" s="74"/>
    </row>
    <row r="3680" spans="1:261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Q3680" s="74"/>
      <c r="R3680" s="74"/>
      <c r="S3680" s="74"/>
      <c r="T3680" s="74"/>
      <c r="U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  <c r="IW3680" s="74"/>
      <c r="IX3680" s="74"/>
      <c r="IY3680" s="74"/>
      <c r="IZ3680" s="74"/>
      <c r="JA3680" s="74"/>
    </row>
    <row r="3681" spans="1:261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Q3681" s="74"/>
      <c r="R3681" s="74"/>
      <c r="S3681" s="74"/>
      <c r="T3681" s="74"/>
      <c r="U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  <c r="IW3681" s="74"/>
      <c r="IX3681" s="74"/>
      <c r="IY3681" s="74"/>
      <c r="IZ3681" s="74"/>
      <c r="JA3681" s="74"/>
    </row>
    <row r="3682" spans="1:261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Q3682" s="74"/>
      <c r="R3682" s="74"/>
      <c r="S3682" s="74"/>
      <c r="T3682" s="74"/>
      <c r="U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  <c r="IW3682" s="74"/>
      <c r="IX3682" s="74"/>
      <c r="IY3682" s="74"/>
      <c r="IZ3682" s="74"/>
      <c r="JA3682" s="74"/>
    </row>
    <row r="3683" spans="1:261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Q3683" s="74"/>
      <c r="R3683" s="74"/>
      <c r="S3683" s="74"/>
      <c r="T3683" s="74"/>
      <c r="U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  <c r="IW3683" s="74"/>
      <c r="IX3683" s="74"/>
      <c r="IY3683" s="74"/>
      <c r="IZ3683" s="74"/>
      <c r="JA3683" s="74"/>
    </row>
    <row r="3684" spans="1:261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Q3684" s="74"/>
      <c r="R3684" s="74"/>
      <c r="S3684" s="74"/>
      <c r="T3684" s="74"/>
      <c r="U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  <c r="IW3684" s="74"/>
      <c r="IX3684" s="74"/>
      <c r="IY3684" s="74"/>
      <c r="IZ3684" s="74"/>
      <c r="JA3684" s="74"/>
    </row>
  </sheetData>
  <sheetProtection password="DE31" sheet="1" objects="1" scenarios="1" selectLockedCells="1" autoFilter="0"/>
  <autoFilter ref="A70:T85" xr:uid="{00000000-0009-0000-0000-000004000000}"/>
  <mergeCells count="1">
    <mergeCell ref="A1:T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236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237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238</v>
      </c>
      <c r="B8" s="27"/>
    </row>
    <row r="9" spans="1:8" ht="15.75" thickBot="1"/>
    <row r="10" spans="1:8" ht="15" customHeight="1">
      <c r="A10" s="283" t="s">
        <v>239</v>
      </c>
      <c r="B10" s="285" t="s">
        <v>240</v>
      </c>
      <c r="C10" s="285" t="s">
        <v>241</v>
      </c>
      <c r="D10" s="288" t="s">
        <v>242</v>
      </c>
      <c r="E10" s="281" t="s">
        <v>852</v>
      </c>
      <c r="F10" s="281" t="s">
        <v>243</v>
      </c>
      <c r="G10" s="281" t="s">
        <v>244</v>
      </c>
      <c r="H10" s="281" t="s">
        <v>853</v>
      </c>
    </row>
    <row r="11" spans="1:8" ht="15.75" thickBot="1">
      <c r="A11" s="284"/>
      <c r="B11" s="286"/>
      <c r="C11" s="287"/>
      <c r="D11" s="289"/>
      <c r="E11" s="290"/>
      <c r="F11" s="282"/>
      <c r="G11" s="282"/>
      <c r="H11" s="282"/>
    </row>
    <row r="12" spans="1:8">
      <c r="A12" s="30"/>
      <c r="B12" s="31"/>
      <c r="C12" s="32"/>
      <c r="D12" s="214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245</v>
      </c>
      <c r="B23" s="56"/>
      <c r="C23" s="57"/>
      <c r="D23" s="57"/>
      <c r="E23" s="57"/>
      <c r="F23" s="57"/>
      <c r="G23" s="58" t="s">
        <v>246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C3" sqref="C3"/>
    </sheetView>
  </sheetViews>
  <sheetFormatPr defaultColWidth="9.140625" defaultRowHeight="15" zeroHeight="1"/>
  <cols>
    <col min="1" max="1" width="11.5703125" style="142" customWidth="1"/>
    <col min="2" max="2" width="32.140625" style="142" customWidth="1"/>
    <col min="3" max="3" width="11.28515625" style="142" customWidth="1"/>
    <col min="4" max="4" width="25.42578125" style="142" customWidth="1"/>
    <col min="5" max="5" width="16.42578125" style="142" customWidth="1"/>
    <col min="6" max="6" width="27.140625" style="142" customWidth="1"/>
    <col min="7" max="7" width="16.42578125" style="143" customWidth="1"/>
    <col min="8" max="8" width="15.7109375" style="143" customWidth="1"/>
    <col min="9" max="9" width="15.140625" style="143" customWidth="1"/>
    <col min="10" max="10" width="33.7109375" style="143" customWidth="1"/>
    <col min="11" max="12" width="9.5703125" style="143" customWidth="1"/>
    <col min="13" max="13" width="15.140625" style="143" customWidth="1"/>
    <col min="14" max="14" width="18.28515625" style="143" customWidth="1"/>
    <col min="15" max="18" width="9.140625" style="142" customWidth="1"/>
    <col min="19" max="19" width="46.5703125" style="142" customWidth="1"/>
    <col min="20" max="21" width="9.140625" style="142" customWidth="1"/>
    <col min="22" max="22" width="58.85546875" style="142" customWidth="1"/>
    <col min="23" max="26" width="9.140625" style="142" customWidth="1"/>
    <col min="27" max="27" width="14.7109375" style="142" customWidth="1"/>
    <col min="28" max="28" width="9.140625" style="142" customWidth="1"/>
    <col min="29" max="16384" width="9.140625" style="142"/>
  </cols>
  <sheetData>
    <row r="1" spans="1:28" ht="35.25" customHeight="1">
      <c r="A1" s="291" t="s">
        <v>854</v>
      </c>
      <c r="B1" s="291"/>
      <c r="C1" s="203" t="str">
        <f>IF('Opći dio'!C3="odaberite -","Molimo odaberite proračunskog korisnika na radnom listu Opći podaci!","")</f>
        <v/>
      </c>
    </row>
    <row r="2" spans="1:28" ht="60">
      <c r="A2" s="225" t="s">
        <v>845</v>
      </c>
      <c r="B2" s="226" t="s">
        <v>58</v>
      </c>
      <c r="C2" s="225" t="s">
        <v>843</v>
      </c>
      <c r="D2" s="226" t="s">
        <v>844</v>
      </c>
      <c r="E2" s="225" t="s">
        <v>855</v>
      </c>
      <c r="F2" s="226" t="s">
        <v>60</v>
      </c>
      <c r="G2" s="227" t="s">
        <v>836</v>
      </c>
      <c r="H2" s="227" t="s">
        <v>837</v>
      </c>
      <c r="I2" s="227" t="s">
        <v>838</v>
      </c>
      <c r="J2" s="227" t="s">
        <v>856</v>
      </c>
      <c r="K2" s="227" t="s">
        <v>857</v>
      </c>
      <c r="L2" s="227" t="s">
        <v>858</v>
      </c>
      <c r="M2" s="227" t="s">
        <v>859</v>
      </c>
      <c r="N2" s="227" t="s">
        <v>860</v>
      </c>
      <c r="P2" s="145" t="s">
        <v>812</v>
      </c>
      <c r="Q2" s="145" t="s">
        <v>813</v>
      </c>
    </row>
    <row r="3" spans="1:28">
      <c r="A3" s="152"/>
      <c r="B3" s="147" t="str">
        <f>IFERROR(VLOOKUP(A3,$R$6:$S$22,2,FALSE),"")</f>
        <v/>
      </c>
      <c r="C3" s="152"/>
      <c r="D3" s="147" t="str">
        <f t="shared" ref="D3:D66" si="0">IFERROR(VLOOKUP(C3,$U$5:$W$129,2,FALSE),"")</f>
        <v/>
      </c>
      <c r="E3" s="199"/>
      <c r="F3" s="147" t="str">
        <f>IFERROR(VLOOKUP(E3,$AA$6:$AB$239,2,FALSE),"")</f>
        <v/>
      </c>
      <c r="G3" s="196"/>
      <c r="H3" s="196"/>
      <c r="I3" s="196"/>
      <c r="J3" s="224"/>
      <c r="K3" s="223"/>
      <c r="L3" s="223"/>
      <c r="M3" s="224"/>
      <c r="N3" s="224"/>
      <c r="P3" s="142" t="str">
        <f>LEFT(C3,3)</f>
        <v/>
      </c>
      <c r="Q3" s="142" t="str">
        <f>LEFT(C3,2)</f>
        <v/>
      </c>
    </row>
    <row r="4" spans="1:28">
      <c r="A4" s="152"/>
      <c r="B4" s="147" t="str">
        <f t="shared" ref="B4:B67" si="1">IFERROR(VLOOKUP(A4,$R$6:$S$22,2,FALSE),"")</f>
        <v/>
      </c>
      <c r="C4" s="152"/>
      <c r="D4" s="147" t="str">
        <f t="shared" si="0"/>
        <v/>
      </c>
      <c r="E4" s="199"/>
      <c r="F4" s="147" t="str">
        <f t="shared" ref="F4:F67" si="2">IFERROR(VLOOKUP(E4,$AA$6:$AB$239,2,FALSE),"")</f>
        <v/>
      </c>
      <c r="G4" s="196"/>
      <c r="H4" s="196"/>
      <c r="I4" s="196"/>
      <c r="J4" s="224"/>
      <c r="K4" s="223"/>
      <c r="L4" s="223"/>
      <c r="M4" s="224"/>
      <c r="N4" s="224"/>
      <c r="P4" s="142" t="str">
        <f t="shared" ref="P4:P67" si="3">LEFT(C4,3)</f>
        <v/>
      </c>
      <c r="Q4" s="142" t="str">
        <f t="shared" ref="Q4:Q67" si="4">LEFT(C4,2)</f>
        <v/>
      </c>
      <c r="U4" s="148"/>
      <c r="V4" s="148"/>
    </row>
    <row r="5" spans="1:28">
      <c r="A5" s="152"/>
      <c r="B5" s="147" t="str">
        <f t="shared" si="1"/>
        <v/>
      </c>
      <c r="C5" s="152"/>
      <c r="D5" s="147" t="str">
        <f t="shared" si="0"/>
        <v/>
      </c>
      <c r="E5" s="199"/>
      <c r="F5" s="147" t="str">
        <f t="shared" si="2"/>
        <v/>
      </c>
      <c r="G5" s="196"/>
      <c r="H5" s="196"/>
      <c r="I5" s="196"/>
      <c r="J5" s="224"/>
      <c r="K5" s="223"/>
      <c r="L5" s="223"/>
      <c r="M5" s="224"/>
      <c r="N5" s="224"/>
      <c r="P5" s="142" t="str">
        <f t="shared" si="3"/>
        <v/>
      </c>
      <c r="Q5" s="142" t="str">
        <f t="shared" si="4"/>
        <v/>
      </c>
      <c r="R5" s="142" t="s">
        <v>57</v>
      </c>
      <c r="S5" s="142" t="s">
        <v>58</v>
      </c>
      <c r="U5" s="142">
        <v>3111</v>
      </c>
      <c r="V5" s="142" t="s">
        <v>66</v>
      </c>
      <c r="X5" s="142" t="str">
        <f t="shared" ref="X5:X68" si="5">LEFT(U5,2)</f>
        <v>31</v>
      </c>
      <c r="Y5" s="142" t="str">
        <f>LEFT(U5,3)</f>
        <v>311</v>
      </c>
      <c r="AA5" s="142" t="s">
        <v>59</v>
      </c>
      <c r="AB5" s="142" t="s">
        <v>60</v>
      </c>
    </row>
    <row r="6" spans="1:28">
      <c r="A6" s="152"/>
      <c r="B6" s="147" t="str">
        <f t="shared" si="1"/>
        <v/>
      </c>
      <c r="C6" s="152"/>
      <c r="D6" s="147" t="str">
        <f t="shared" si="0"/>
        <v/>
      </c>
      <c r="E6" s="199"/>
      <c r="F6" s="147" t="str">
        <f t="shared" si="2"/>
        <v/>
      </c>
      <c r="G6" s="196"/>
      <c r="H6" s="196"/>
      <c r="I6" s="196"/>
      <c r="J6" s="224"/>
      <c r="K6" s="223"/>
      <c r="L6" s="223"/>
      <c r="M6" s="224"/>
      <c r="N6" s="224"/>
      <c r="P6" s="142" t="str">
        <f t="shared" si="3"/>
        <v/>
      </c>
      <c r="Q6" s="142" t="str">
        <f t="shared" si="4"/>
        <v/>
      </c>
      <c r="R6" s="142">
        <v>11</v>
      </c>
      <c r="S6" s="142" t="s">
        <v>65</v>
      </c>
      <c r="U6" s="142">
        <v>3112</v>
      </c>
      <c r="V6" s="142" t="s">
        <v>166</v>
      </c>
      <c r="X6" s="142" t="str">
        <f t="shared" si="5"/>
        <v>31</v>
      </c>
      <c r="Y6" s="142" t="str">
        <f t="shared" ref="Y6:Y69" si="6">LEFT(U6,3)</f>
        <v>311</v>
      </c>
      <c r="AA6" s="142" t="s">
        <v>890</v>
      </c>
      <c r="AB6" s="142" t="s">
        <v>890</v>
      </c>
    </row>
    <row r="7" spans="1:28">
      <c r="A7" s="152"/>
      <c r="B7" s="147" t="str">
        <f t="shared" si="1"/>
        <v/>
      </c>
      <c r="C7" s="152"/>
      <c r="D7" s="147" t="str">
        <f t="shared" si="0"/>
        <v/>
      </c>
      <c r="E7" s="199"/>
      <c r="F7" s="147" t="str">
        <f t="shared" si="2"/>
        <v/>
      </c>
      <c r="G7" s="196"/>
      <c r="H7" s="196"/>
      <c r="I7" s="196"/>
      <c r="J7" s="224"/>
      <c r="K7" s="223"/>
      <c r="L7" s="223"/>
      <c r="M7" s="224"/>
      <c r="N7" s="224"/>
      <c r="P7" s="142" t="str">
        <f t="shared" si="3"/>
        <v/>
      </c>
      <c r="Q7" s="142" t="str">
        <f t="shared" si="4"/>
        <v/>
      </c>
      <c r="R7" s="142">
        <v>12</v>
      </c>
      <c r="S7" s="142" t="s">
        <v>285</v>
      </c>
      <c r="U7" s="142">
        <v>3113</v>
      </c>
      <c r="V7" s="142" t="s">
        <v>145</v>
      </c>
      <c r="X7" s="142" t="str">
        <f t="shared" si="5"/>
        <v>31</v>
      </c>
      <c r="Y7" s="142" t="str">
        <f t="shared" si="6"/>
        <v>311</v>
      </c>
      <c r="AA7" s="142" t="s">
        <v>1185</v>
      </c>
      <c r="AB7" s="142" t="s">
        <v>1186</v>
      </c>
    </row>
    <row r="8" spans="1:28">
      <c r="A8" s="152"/>
      <c r="B8" s="147" t="str">
        <f t="shared" si="1"/>
        <v/>
      </c>
      <c r="C8" s="152"/>
      <c r="D8" s="147" t="str">
        <f t="shared" si="0"/>
        <v/>
      </c>
      <c r="E8" s="199"/>
      <c r="F8" s="147" t="str">
        <f t="shared" si="2"/>
        <v/>
      </c>
      <c r="G8" s="196"/>
      <c r="H8" s="196"/>
      <c r="I8" s="196"/>
      <c r="J8" s="224"/>
      <c r="K8" s="223"/>
      <c r="L8" s="223"/>
      <c r="M8" s="224"/>
      <c r="N8" s="224"/>
      <c r="P8" s="142" t="str">
        <f t="shared" si="3"/>
        <v/>
      </c>
      <c r="Q8" s="142" t="str">
        <f t="shared" si="4"/>
        <v/>
      </c>
      <c r="R8" s="142">
        <v>31</v>
      </c>
      <c r="S8" s="142" t="s">
        <v>110</v>
      </c>
      <c r="U8" s="142">
        <v>3114</v>
      </c>
      <c r="V8" s="142" t="s">
        <v>167</v>
      </c>
      <c r="X8" s="142" t="str">
        <f t="shared" si="5"/>
        <v>31</v>
      </c>
      <c r="Y8" s="142" t="str">
        <f t="shared" si="6"/>
        <v>311</v>
      </c>
      <c r="AA8" s="142" t="s">
        <v>1187</v>
      </c>
      <c r="AB8" s="142" t="s">
        <v>1188</v>
      </c>
    </row>
    <row r="9" spans="1:28">
      <c r="A9" s="152"/>
      <c r="B9" s="147" t="str">
        <f t="shared" si="1"/>
        <v/>
      </c>
      <c r="C9" s="152"/>
      <c r="D9" s="147" t="str">
        <f t="shared" si="0"/>
        <v/>
      </c>
      <c r="E9" s="199"/>
      <c r="F9" s="147" t="str">
        <f t="shared" si="2"/>
        <v/>
      </c>
      <c r="G9" s="196"/>
      <c r="H9" s="196"/>
      <c r="I9" s="196"/>
      <c r="J9" s="224"/>
      <c r="K9" s="223"/>
      <c r="L9" s="223"/>
      <c r="M9" s="224"/>
      <c r="N9" s="224"/>
      <c r="P9" s="142" t="str">
        <f t="shared" si="3"/>
        <v/>
      </c>
      <c r="Q9" s="142" t="str">
        <f t="shared" si="4"/>
        <v/>
      </c>
      <c r="R9" s="142">
        <v>41</v>
      </c>
      <c r="S9" s="142" t="s">
        <v>1643</v>
      </c>
      <c r="U9" s="142">
        <v>3121</v>
      </c>
      <c r="V9" s="142" t="s">
        <v>69</v>
      </c>
      <c r="X9" s="142" t="str">
        <f t="shared" si="5"/>
        <v>31</v>
      </c>
      <c r="Y9" s="142" t="str">
        <f t="shared" si="6"/>
        <v>312</v>
      </c>
      <c r="AA9" s="142" t="s">
        <v>1189</v>
      </c>
      <c r="AB9" s="142" t="s">
        <v>1190</v>
      </c>
    </row>
    <row r="10" spans="1:28">
      <c r="A10" s="152"/>
      <c r="B10" s="147" t="str">
        <f t="shared" si="1"/>
        <v/>
      </c>
      <c r="C10" s="152"/>
      <c r="D10" s="147" t="str">
        <f t="shared" si="0"/>
        <v/>
      </c>
      <c r="E10" s="199"/>
      <c r="F10" s="147" t="str">
        <f t="shared" si="2"/>
        <v/>
      </c>
      <c r="G10" s="196"/>
      <c r="H10" s="196"/>
      <c r="I10" s="196"/>
      <c r="J10" s="224"/>
      <c r="K10" s="223"/>
      <c r="L10" s="223"/>
      <c r="M10" s="224"/>
      <c r="N10" s="224"/>
      <c r="P10" s="142" t="str">
        <f t="shared" si="3"/>
        <v/>
      </c>
      <c r="Q10" s="142" t="str">
        <f t="shared" si="4"/>
        <v/>
      </c>
      <c r="R10" s="142">
        <v>43</v>
      </c>
      <c r="S10" s="142" t="s">
        <v>115</v>
      </c>
      <c r="U10" s="210">
        <v>3132</v>
      </c>
      <c r="V10" s="210" t="s">
        <v>70</v>
      </c>
      <c r="W10" s="210"/>
      <c r="X10" s="210" t="str">
        <f t="shared" si="5"/>
        <v>31</v>
      </c>
      <c r="Y10" s="210" t="str">
        <f t="shared" si="6"/>
        <v>313</v>
      </c>
      <c r="AA10" s="142" t="s">
        <v>1191</v>
      </c>
      <c r="AB10" s="142" t="s">
        <v>1192</v>
      </c>
    </row>
    <row r="11" spans="1:28">
      <c r="A11" s="152"/>
      <c r="B11" s="147" t="str">
        <f t="shared" si="1"/>
        <v/>
      </c>
      <c r="C11" s="152"/>
      <c r="D11" s="147" t="str">
        <f t="shared" si="0"/>
        <v/>
      </c>
      <c r="E11" s="199"/>
      <c r="F11" s="147" t="str">
        <f t="shared" si="2"/>
        <v/>
      </c>
      <c r="G11" s="196"/>
      <c r="H11" s="196"/>
      <c r="I11" s="196"/>
      <c r="J11" s="224"/>
      <c r="K11" s="223"/>
      <c r="L11" s="223"/>
      <c r="M11" s="224"/>
      <c r="N11" s="224"/>
      <c r="P11" s="142" t="str">
        <f t="shared" si="3"/>
        <v/>
      </c>
      <c r="Q11" s="142" t="str">
        <f t="shared" si="4"/>
        <v/>
      </c>
      <c r="R11" s="142">
        <v>51</v>
      </c>
      <c r="S11" s="142" t="s">
        <v>105</v>
      </c>
      <c r="U11" s="142">
        <v>3211</v>
      </c>
      <c r="V11" s="142" t="s">
        <v>97</v>
      </c>
      <c r="X11" s="142" t="str">
        <f t="shared" si="5"/>
        <v>32</v>
      </c>
      <c r="Y11" s="142" t="str">
        <f t="shared" si="6"/>
        <v>321</v>
      </c>
      <c r="AA11" s="142" t="s">
        <v>1193</v>
      </c>
      <c r="AB11" s="142" t="s">
        <v>1194</v>
      </c>
    </row>
    <row r="12" spans="1:28">
      <c r="A12" s="152"/>
      <c r="B12" s="147" t="str">
        <f t="shared" si="1"/>
        <v/>
      </c>
      <c r="C12" s="152"/>
      <c r="D12" s="147" t="str">
        <f t="shared" si="0"/>
        <v/>
      </c>
      <c r="E12" s="199"/>
      <c r="F12" s="147" t="str">
        <f t="shared" si="2"/>
        <v/>
      </c>
      <c r="G12" s="196"/>
      <c r="H12" s="196"/>
      <c r="I12" s="196"/>
      <c r="J12" s="224"/>
      <c r="K12" s="223"/>
      <c r="L12" s="223"/>
      <c r="M12" s="224"/>
      <c r="N12" s="224"/>
      <c r="P12" s="142" t="str">
        <f t="shared" si="3"/>
        <v/>
      </c>
      <c r="Q12" s="142" t="str">
        <f t="shared" si="4"/>
        <v/>
      </c>
      <c r="R12" s="142">
        <v>52</v>
      </c>
      <c r="S12" s="142" t="s">
        <v>128</v>
      </c>
      <c r="U12" s="142">
        <v>3212</v>
      </c>
      <c r="V12" s="142" t="s">
        <v>71</v>
      </c>
      <c r="X12" s="142" t="str">
        <f t="shared" si="5"/>
        <v>32</v>
      </c>
      <c r="Y12" s="142" t="str">
        <f t="shared" si="6"/>
        <v>321</v>
      </c>
      <c r="AA12" s="142" t="s">
        <v>1195</v>
      </c>
      <c r="AB12" s="142" t="s">
        <v>1196</v>
      </c>
    </row>
    <row r="13" spans="1:28">
      <c r="A13" s="152"/>
      <c r="B13" s="147" t="str">
        <f t="shared" si="1"/>
        <v/>
      </c>
      <c r="C13" s="152"/>
      <c r="D13" s="147" t="str">
        <f t="shared" si="0"/>
        <v/>
      </c>
      <c r="E13" s="199"/>
      <c r="F13" s="147" t="str">
        <f t="shared" si="2"/>
        <v/>
      </c>
      <c r="G13" s="196"/>
      <c r="H13" s="196"/>
      <c r="I13" s="196"/>
      <c r="J13" s="224"/>
      <c r="K13" s="223"/>
      <c r="L13" s="223"/>
      <c r="M13" s="224"/>
      <c r="N13" s="224"/>
      <c r="P13" s="142" t="str">
        <f t="shared" si="3"/>
        <v/>
      </c>
      <c r="Q13" s="142" t="str">
        <f t="shared" si="4"/>
        <v/>
      </c>
      <c r="R13" s="142">
        <v>552</v>
      </c>
      <c r="S13" s="142" t="s">
        <v>1644</v>
      </c>
      <c r="U13" s="142">
        <v>3213</v>
      </c>
      <c r="V13" s="142" t="s">
        <v>116</v>
      </c>
      <c r="X13" s="142" t="str">
        <f t="shared" si="5"/>
        <v>32</v>
      </c>
      <c r="Y13" s="142" t="str">
        <f t="shared" si="6"/>
        <v>321</v>
      </c>
      <c r="AA13" s="142" t="s">
        <v>1197</v>
      </c>
      <c r="AB13" s="142" t="s">
        <v>1198</v>
      </c>
    </row>
    <row r="14" spans="1:28">
      <c r="A14" s="152"/>
      <c r="B14" s="147" t="str">
        <f t="shared" si="1"/>
        <v/>
      </c>
      <c r="C14" s="152"/>
      <c r="D14" s="147" t="str">
        <f t="shared" si="0"/>
        <v/>
      </c>
      <c r="E14" s="199"/>
      <c r="F14" s="147" t="str">
        <f t="shared" si="2"/>
        <v/>
      </c>
      <c r="G14" s="196"/>
      <c r="H14" s="196"/>
      <c r="I14" s="196"/>
      <c r="J14" s="224"/>
      <c r="K14" s="223"/>
      <c r="L14" s="223"/>
      <c r="M14" s="224"/>
      <c r="N14" s="224"/>
      <c r="P14" s="142" t="str">
        <f t="shared" si="3"/>
        <v/>
      </c>
      <c r="Q14" s="142" t="str">
        <f t="shared" si="4"/>
        <v/>
      </c>
      <c r="R14" s="142">
        <v>559</v>
      </c>
      <c r="S14" s="142" t="s">
        <v>1645</v>
      </c>
      <c r="U14" s="142">
        <v>3214</v>
      </c>
      <c r="V14" s="142" t="s">
        <v>146</v>
      </c>
      <c r="X14" s="142" t="str">
        <f t="shared" si="5"/>
        <v>32</v>
      </c>
      <c r="Y14" s="142" t="str">
        <f t="shared" si="6"/>
        <v>321</v>
      </c>
      <c r="AA14" s="142" t="s">
        <v>1199</v>
      </c>
      <c r="AB14" s="142" t="s">
        <v>1200</v>
      </c>
    </row>
    <row r="15" spans="1:28">
      <c r="A15" s="152"/>
      <c r="B15" s="147" t="str">
        <f t="shared" si="1"/>
        <v/>
      </c>
      <c r="C15" s="152"/>
      <c r="D15" s="147" t="str">
        <f t="shared" si="0"/>
        <v/>
      </c>
      <c r="E15" s="199"/>
      <c r="F15" s="147" t="str">
        <f t="shared" si="2"/>
        <v/>
      </c>
      <c r="G15" s="196"/>
      <c r="H15" s="196"/>
      <c r="I15" s="196"/>
      <c r="J15" s="224"/>
      <c r="K15" s="223"/>
      <c r="L15" s="223"/>
      <c r="M15" s="224"/>
      <c r="N15" s="224"/>
      <c r="P15" s="142" t="str">
        <f t="shared" si="3"/>
        <v/>
      </c>
      <c r="Q15" s="142" t="str">
        <f t="shared" si="4"/>
        <v/>
      </c>
      <c r="R15" s="142">
        <v>561</v>
      </c>
      <c r="S15" s="142" t="s">
        <v>130</v>
      </c>
      <c r="U15" s="142">
        <v>3221</v>
      </c>
      <c r="V15" s="142" t="s">
        <v>98</v>
      </c>
      <c r="X15" s="142" t="str">
        <f t="shared" si="5"/>
        <v>32</v>
      </c>
      <c r="Y15" s="142" t="str">
        <f t="shared" si="6"/>
        <v>322</v>
      </c>
      <c r="AA15" s="142" t="s">
        <v>1201</v>
      </c>
      <c r="AB15" s="142" t="s">
        <v>1202</v>
      </c>
    </row>
    <row r="16" spans="1:28">
      <c r="A16" s="152"/>
      <c r="B16" s="147" t="str">
        <f t="shared" si="1"/>
        <v/>
      </c>
      <c r="C16" s="152"/>
      <c r="D16" s="147" t="str">
        <f t="shared" si="0"/>
        <v/>
      </c>
      <c r="E16" s="199"/>
      <c r="F16" s="147" t="str">
        <f t="shared" si="2"/>
        <v/>
      </c>
      <c r="G16" s="196"/>
      <c r="H16" s="196"/>
      <c r="I16" s="196"/>
      <c r="J16" s="224"/>
      <c r="K16" s="223"/>
      <c r="L16" s="223"/>
      <c r="M16" s="224"/>
      <c r="N16" s="224"/>
      <c r="P16" s="142" t="str">
        <f t="shared" si="3"/>
        <v/>
      </c>
      <c r="Q16" s="142" t="str">
        <f t="shared" si="4"/>
        <v/>
      </c>
      <c r="R16" s="142">
        <v>563</v>
      </c>
      <c r="S16" s="142" t="s">
        <v>132</v>
      </c>
      <c r="U16" s="142">
        <v>3222</v>
      </c>
      <c r="V16" s="142" t="s">
        <v>119</v>
      </c>
      <c r="X16" s="142" t="str">
        <f t="shared" si="5"/>
        <v>32</v>
      </c>
      <c r="Y16" s="142" t="str">
        <f t="shared" si="6"/>
        <v>322</v>
      </c>
      <c r="AA16" s="142" t="s">
        <v>1203</v>
      </c>
      <c r="AB16" s="142" t="s">
        <v>1204</v>
      </c>
    </row>
    <row r="17" spans="1:28">
      <c r="A17" s="152"/>
      <c r="B17" s="147" t="str">
        <f t="shared" si="1"/>
        <v/>
      </c>
      <c r="C17" s="152"/>
      <c r="D17" s="147" t="str">
        <f t="shared" si="0"/>
        <v/>
      </c>
      <c r="E17" s="199"/>
      <c r="F17" s="147" t="str">
        <f t="shared" si="2"/>
        <v/>
      </c>
      <c r="G17" s="196"/>
      <c r="H17" s="196"/>
      <c r="I17" s="196"/>
      <c r="J17" s="224"/>
      <c r="K17" s="223"/>
      <c r="L17" s="223"/>
      <c r="M17" s="224"/>
      <c r="N17" s="224"/>
      <c r="P17" s="142" t="str">
        <f t="shared" si="3"/>
        <v/>
      </c>
      <c r="Q17" s="142" t="str">
        <f t="shared" si="4"/>
        <v/>
      </c>
      <c r="R17" s="142">
        <v>573</v>
      </c>
      <c r="S17" s="142" t="s">
        <v>1656</v>
      </c>
      <c r="U17" s="142">
        <v>3223</v>
      </c>
      <c r="V17" s="142" t="s">
        <v>107</v>
      </c>
      <c r="X17" s="142" t="str">
        <f t="shared" si="5"/>
        <v>32</v>
      </c>
      <c r="Y17" s="142" t="str">
        <f t="shared" si="6"/>
        <v>322</v>
      </c>
      <c r="AA17" s="142" t="s">
        <v>1205</v>
      </c>
      <c r="AB17" s="142" t="s">
        <v>1206</v>
      </c>
    </row>
    <row r="18" spans="1:28">
      <c r="A18" s="152"/>
      <c r="B18" s="147" t="str">
        <f t="shared" si="1"/>
        <v/>
      </c>
      <c r="C18" s="152"/>
      <c r="D18" s="147" t="str">
        <f t="shared" si="0"/>
        <v/>
      </c>
      <c r="E18" s="199"/>
      <c r="F18" s="147" t="str">
        <f t="shared" si="2"/>
        <v/>
      </c>
      <c r="G18" s="196"/>
      <c r="H18" s="196"/>
      <c r="I18" s="196"/>
      <c r="J18" s="224"/>
      <c r="K18" s="223"/>
      <c r="L18" s="223"/>
      <c r="M18" s="224"/>
      <c r="N18" s="224"/>
      <c r="P18" s="142" t="str">
        <f t="shared" si="3"/>
        <v/>
      </c>
      <c r="Q18" s="142" t="str">
        <f t="shared" si="4"/>
        <v/>
      </c>
      <c r="R18" s="142">
        <v>575</v>
      </c>
      <c r="S18" s="142" t="s">
        <v>1658</v>
      </c>
      <c r="U18" s="142">
        <v>3224</v>
      </c>
      <c r="V18" s="142" t="s">
        <v>112</v>
      </c>
      <c r="X18" s="142" t="str">
        <f t="shared" si="5"/>
        <v>32</v>
      </c>
      <c r="Y18" s="142" t="str">
        <f t="shared" si="6"/>
        <v>322</v>
      </c>
      <c r="AA18" s="142" t="s">
        <v>1207</v>
      </c>
      <c r="AB18" s="142" t="s">
        <v>1208</v>
      </c>
    </row>
    <row r="19" spans="1:28">
      <c r="A19" s="152"/>
      <c r="B19" s="147" t="str">
        <f t="shared" si="1"/>
        <v/>
      </c>
      <c r="C19" s="152"/>
      <c r="D19" s="147" t="str">
        <f t="shared" si="0"/>
        <v/>
      </c>
      <c r="E19" s="199"/>
      <c r="F19" s="147" t="str">
        <f t="shared" si="2"/>
        <v/>
      </c>
      <c r="G19" s="196"/>
      <c r="H19" s="196"/>
      <c r="I19" s="196"/>
      <c r="J19" s="224"/>
      <c r="K19" s="223"/>
      <c r="L19" s="223"/>
      <c r="M19" s="224"/>
      <c r="N19" s="224"/>
      <c r="P19" s="142" t="str">
        <f t="shared" si="3"/>
        <v/>
      </c>
      <c r="Q19" s="142" t="str">
        <f t="shared" si="4"/>
        <v/>
      </c>
      <c r="R19" s="142">
        <v>61</v>
      </c>
      <c r="S19" s="142" t="s">
        <v>134</v>
      </c>
      <c r="U19" s="142">
        <v>3225</v>
      </c>
      <c r="V19" s="142" t="s">
        <v>120</v>
      </c>
      <c r="X19" s="142" t="str">
        <f t="shared" si="5"/>
        <v>32</v>
      </c>
      <c r="Y19" s="142" t="str">
        <f t="shared" si="6"/>
        <v>322</v>
      </c>
      <c r="AA19" s="142" t="s">
        <v>1209</v>
      </c>
      <c r="AB19" s="142" t="s">
        <v>1210</v>
      </c>
    </row>
    <row r="20" spans="1:28">
      <c r="A20" s="152"/>
      <c r="B20" s="147" t="str">
        <f t="shared" si="1"/>
        <v/>
      </c>
      <c r="C20" s="152"/>
      <c r="D20" s="147" t="str">
        <f t="shared" si="0"/>
        <v/>
      </c>
      <c r="E20" s="199"/>
      <c r="F20" s="147" t="str">
        <f t="shared" si="2"/>
        <v/>
      </c>
      <c r="G20" s="196"/>
      <c r="H20" s="196"/>
      <c r="I20" s="196"/>
      <c r="J20" s="224"/>
      <c r="K20" s="223"/>
      <c r="L20" s="223"/>
      <c r="M20" s="224"/>
      <c r="N20" s="224"/>
      <c r="P20" s="142" t="str">
        <f t="shared" si="3"/>
        <v/>
      </c>
      <c r="Q20" s="142" t="str">
        <f t="shared" si="4"/>
        <v/>
      </c>
      <c r="R20" s="142">
        <v>71</v>
      </c>
      <c r="S20" s="142" t="s">
        <v>193</v>
      </c>
      <c r="U20" s="142">
        <v>3226</v>
      </c>
      <c r="V20" s="142" t="s">
        <v>195</v>
      </c>
      <c r="X20" s="142" t="str">
        <f t="shared" si="5"/>
        <v>32</v>
      </c>
      <c r="Y20" s="142" t="str">
        <f t="shared" si="6"/>
        <v>322</v>
      </c>
      <c r="AA20" s="142" t="s">
        <v>1211</v>
      </c>
      <c r="AB20" s="142" t="s">
        <v>1212</v>
      </c>
    </row>
    <row r="21" spans="1:28">
      <c r="A21" s="152"/>
      <c r="B21" s="147" t="str">
        <f t="shared" si="1"/>
        <v/>
      </c>
      <c r="C21" s="152"/>
      <c r="D21" s="147" t="str">
        <f t="shared" si="0"/>
        <v/>
      </c>
      <c r="E21" s="199"/>
      <c r="F21" s="147" t="str">
        <f t="shared" si="2"/>
        <v/>
      </c>
      <c r="G21" s="196"/>
      <c r="H21" s="196"/>
      <c r="I21" s="196"/>
      <c r="J21" s="224"/>
      <c r="K21" s="223"/>
      <c r="L21" s="223"/>
      <c r="M21" s="224"/>
      <c r="N21" s="224"/>
      <c r="P21" s="142" t="str">
        <f t="shared" si="3"/>
        <v/>
      </c>
      <c r="Q21" s="142" t="str">
        <f t="shared" si="4"/>
        <v/>
      </c>
      <c r="R21" s="142">
        <v>81</v>
      </c>
      <c r="S21" s="142" t="s">
        <v>75</v>
      </c>
      <c r="U21" s="142">
        <v>3227</v>
      </c>
      <c r="V21" s="142" t="s">
        <v>137</v>
      </c>
      <c r="X21" s="142" t="str">
        <f t="shared" si="5"/>
        <v>32</v>
      </c>
      <c r="Y21" s="142" t="str">
        <f t="shared" si="6"/>
        <v>322</v>
      </c>
      <c r="AA21" s="142" t="s">
        <v>1213</v>
      </c>
      <c r="AB21" s="142" t="s">
        <v>1214</v>
      </c>
    </row>
    <row r="22" spans="1:28">
      <c r="A22" s="152"/>
      <c r="B22" s="147" t="str">
        <f t="shared" si="1"/>
        <v/>
      </c>
      <c r="C22" s="152"/>
      <c r="D22" s="147" t="str">
        <f t="shared" si="0"/>
        <v/>
      </c>
      <c r="E22" s="199"/>
      <c r="F22" s="147" t="str">
        <f t="shared" si="2"/>
        <v/>
      </c>
      <c r="G22" s="196"/>
      <c r="H22" s="196"/>
      <c r="I22" s="196"/>
      <c r="J22" s="224"/>
      <c r="K22" s="223"/>
      <c r="L22" s="223"/>
      <c r="M22" s="224"/>
      <c r="N22" s="224"/>
      <c r="P22" s="142" t="str">
        <f t="shared" si="3"/>
        <v/>
      </c>
      <c r="Q22" s="142" t="str">
        <f t="shared" si="4"/>
        <v/>
      </c>
      <c r="R22" s="142">
        <v>83</v>
      </c>
      <c r="S22" s="142" t="s">
        <v>1646</v>
      </c>
      <c r="U22" s="142">
        <v>3231</v>
      </c>
      <c r="V22" s="142" t="s">
        <v>121</v>
      </c>
      <c r="X22" s="142" t="str">
        <f t="shared" si="5"/>
        <v>32</v>
      </c>
      <c r="Y22" s="142" t="str">
        <f t="shared" si="6"/>
        <v>323</v>
      </c>
      <c r="AA22" s="142" t="s">
        <v>1215</v>
      </c>
      <c r="AB22" s="142" t="s">
        <v>1216</v>
      </c>
    </row>
    <row r="23" spans="1:28">
      <c r="A23" s="152"/>
      <c r="B23" s="147" t="str">
        <f t="shared" si="1"/>
        <v/>
      </c>
      <c r="C23" s="152"/>
      <c r="D23" s="147" t="str">
        <f t="shared" si="0"/>
        <v/>
      </c>
      <c r="E23" s="199"/>
      <c r="F23" s="147" t="str">
        <f t="shared" si="2"/>
        <v/>
      </c>
      <c r="G23" s="196"/>
      <c r="H23" s="196"/>
      <c r="I23" s="196"/>
      <c r="J23" s="224"/>
      <c r="K23" s="223"/>
      <c r="L23" s="223"/>
      <c r="M23" s="224"/>
      <c r="N23" s="224"/>
      <c r="P23" s="142" t="str">
        <f t="shared" si="3"/>
        <v/>
      </c>
      <c r="Q23" s="142" t="str">
        <f t="shared" si="4"/>
        <v/>
      </c>
      <c r="U23" s="142">
        <v>3232</v>
      </c>
      <c r="V23" s="142" t="s">
        <v>108</v>
      </c>
      <c r="X23" s="142" t="str">
        <f t="shared" si="5"/>
        <v>32</v>
      </c>
      <c r="Y23" s="142" t="str">
        <f t="shared" si="6"/>
        <v>323</v>
      </c>
      <c r="AA23" s="142" t="s">
        <v>1217</v>
      </c>
      <c r="AB23" s="142" t="s">
        <v>1218</v>
      </c>
    </row>
    <row r="24" spans="1:28">
      <c r="A24" s="152"/>
      <c r="B24" s="147" t="str">
        <f t="shared" si="1"/>
        <v/>
      </c>
      <c r="C24" s="152"/>
      <c r="D24" s="147" t="str">
        <f t="shared" si="0"/>
        <v/>
      </c>
      <c r="E24" s="199"/>
      <c r="F24" s="147" t="str">
        <f t="shared" si="2"/>
        <v/>
      </c>
      <c r="G24" s="196"/>
      <c r="H24" s="196"/>
      <c r="I24" s="196"/>
      <c r="J24" s="224"/>
      <c r="K24" s="223"/>
      <c r="L24" s="223"/>
      <c r="M24" s="224"/>
      <c r="N24" s="224"/>
      <c r="P24" s="142" t="str">
        <f t="shared" si="3"/>
        <v/>
      </c>
      <c r="Q24" s="142" t="str">
        <f t="shared" si="4"/>
        <v/>
      </c>
      <c r="U24" s="142">
        <v>3233</v>
      </c>
      <c r="V24" s="142" t="s">
        <v>96</v>
      </c>
      <c r="X24" s="142" t="str">
        <f t="shared" si="5"/>
        <v>32</v>
      </c>
      <c r="Y24" s="142" t="str">
        <f t="shared" si="6"/>
        <v>323</v>
      </c>
      <c r="AA24" s="142" t="s">
        <v>1219</v>
      </c>
      <c r="AB24" s="142" t="s">
        <v>1220</v>
      </c>
    </row>
    <row r="25" spans="1:28">
      <c r="A25" s="152"/>
      <c r="B25" s="147" t="str">
        <f t="shared" si="1"/>
        <v/>
      </c>
      <c r="C25" s="152"/>
      <c r="D25" s="147" t="str">
        <f t="shared" si="0"/>
        <v/>
      </c>
      <c r="E25" s="199"/>
      <c r="F25" s="147" t="str">
        <f t="shared" si="2"/>
        <v/>
      </c>
      <c r="G25" s="196"/>
      <c r="H25" s="196"/>
      <c r="I25" s="196"/>
      <c r="J25" s="224"/>
      <c r="K25" s="223"/>
      <c r="L25" s="223"/>
      <c r="M25" s="224"/>
      <c r="N25" s="224"/>
      <c r="P25" s="142" t="str">
        <f t="shared" si="3"/>
        <v/>
      </c>
      <c r="Q25" s="142" t="str">
        <f t="shared" si="4"/>
        <v/>
      </c>
      <c r="U25" s="142">
        <v>3234</v>
      </c>
      <c r="V25" s="142" t="s">
        <v>109</v>
      </c>
      <c r="X25" s="142" t="str">
        <f t="shared" si="5"/>
        <v>32</v>
      </c>
      <c r="Y25" s="142" t="str">
        <f t="shared" si="6"/>
        <v>323</v>
      </c>
      <c r="AA25" s="142" t="s">
        <v>1221</v>
      </c>
      <c r="AB25" s="142" t="s">
        <v>1222</v>
      </c>
    </row>
    <row r="26" spans="1:28">
      <c r="A26" s="152"/>
      <c r="B26" s="147" t="str">
        <f t="shared" si="1"/>
        <v/>
      </c>
      <c r="C26" s="152"/>
      <c r="D26" s="147" t="str">
        <f t="shared" si="0"/>
        <v/>
      </c>
      <c r="E26" s="199"/>
      <c r="F26" s="147" t="str">
        <f t="shared" si="2"/>
        <v/>
      </c>
      <c r="G26" s="196"/>
      <c r="H26" s="196"/>
      <c r="I26" s="196"/>
      <c r="J26" s="224"/>
      <c r="K26" s="223"/>
      <c r="L26" s="223"/>
      <c r="M26" s="224"/>
      <c r="N26" s="224"/>
      <c r="P26" s="142" t="str">
        <f t="shared" si="3"/>
        <v/>
      </c>
      <c r="Q26" s="142" t="str">
        <f t="shared" si="4"/>
        <v/>
      </c>
      <c r="U26" s="142">
        <v>3235</v>
      </c>
      <c r="V26" s="142" t="s">
        <v>129</v>
      </c>
      <c r="X26" s="142" t="str">
        <f t="shared" si="5"/>
        <v>32</v>
      </c>
      <c r="Y26" s="142" t="str">
        <f t="shared" si="6"/>
        <v>323</v>
      </c>
      <c r="AA26" s="142" t="s">
        <v>1223</v>
      </c>
      <c r="AB26" s="142" t="s">
        <v>1224</v>
      </c>
    </row>
    <row r="27" spans="1:28">
      <c r="A27" s="152"/>
      <c r="B27" s="147" t="str">
        <f t="shared" si="1"/>
        <v/>
      </c>
      <c r="C27" s="152"/>
      <c r="D27" s="147" t="str">
        <f t="shared" si="0"/>
        <v/>
      </c>
      <c r="E27" s="199"/>
      <c r="F27" s="147" t="str">
        <f t="shared" si="2"/>
        <v/>
      </c>
      <c r="G27" s="196"/>
      <c r="H27" s="196"/>
      <c r="I27" s="196"/>
      <c r="J27" s="224"/>
      <c r="K27" s="223"/>
      <c r="L27" s="223"/>
      <c r="M27" s="224"/>
      <c r="N27" s="224"/>
      <c r="P27" s="142" t="str">
        <f t="shared" si="3"/>
        <v/>
      </c>
      <c r="Q27" s="142" t="str">
        <f t="shared" si="4"/>
        <v/>
      </c>
      <c r="U27" s="142">
        <v>3236</v>
      </c>
      <c r="V27" s="142" t="s">
        <v>72</v>
      </c>
      <c r="X27" s="142" t="str">
        <f t="shared" si="5"/>
        <v>32</v>
      </c>
      <c r="Y27" s="142" t="str">
        <f t="shared" si="6"/>
        <v>323</v>
      </c>
      <c r="AA27" s="142" t="s">
        <v>1225</v>
      </c>
      <c r="AB27" s="142" t="s">
        <v>1226</v>
      </c>
    </row>
    <row r="28" spans="1:28">
      <c r="A28" s="152"/>
      <c r="B28" s="147" t="str">
        <f t="shared" si="1"/>
        <v/>
      </c>
      <c r="C28" s="152"/>
      <c r="D28" s="147" t="str">
        <f t="shared" si="0"/>
        <v/>
      </c>
      <c r="E28" s="199"/>
      <c r="F28" s="147" t="str">
        <f t="shared" si="2"/>
        <v/>
      </c>
      <c r="G28" s="196"/>
      <c r="H28" s="196"/>
      <c r="I28" s="196"/>
      <c r="J28" s="224"/>
      <c r="K28" s="223"/>
      <c r="L28" s="223"/>
      <c r="M28" s="224"/>
      <c r="N28" s="224"/>
      <c r="P28" s="142" t="str">
        <f t="shared" si="3"/>
        <v/>
      </c>
      <c r="Q28" s="142" t="str">
        <f t="shared" si="4"/>
        <v/>
      </c>
      <c r="U28" s="142">
        <v>3237</v>
      </c>
      <c r="V28" s="142" t="s">
        <v>85</v>
      </c>
      <c r="X28" s="142" t="str">
        <f t="shared" si="5"/>
        <v>32</v>
      </c>
      <c r="Y28" s="142" t="str">
        <f t="shared" si="6"/>
        <v>323</v>
      </c>
      <c r="AA28" s="142" t="s">
        <v>1227</v>
      </c>
      <c r="AB28" s="142" t="s">
        <v>1228</v>
      </c>
    </row>
    <row r="29" spans="1:28">
      <c r="A29" s="152"/>
      <c r="B29" s="147" t="str">
        <f t="shared" si="1"/>
        <v/>
      </c>
      <c r="C29" s="152"/>
      <c r="D29" s="147" t="str">
        <f t="shared" si="0"/>
        <v/>
      </c>
      <c r="E29" s="199"/>
      <c r="F29" s="147" t="str">
        <f t="shared" si="2"/>
        <v/>
      </c>
      <c r="G29" s="196"/>
      <c r="H29" s="196"/>
      <c r="I29" s="196"/>
      <c r="J29" s="224"/>
      <c r="K29" s="223"/>
      <c r="L29" s="223"/>
      <c r="M29" s="224"/>
      <c r="N29" s="224"/>
      <c r="P29" s="142" t="str">
        <f t="shared" si="3"/>
        <v/>
      </c>
      <c r="Q29" s="142" t="str">
        <f t="shared" si="4"/>
        <v/>
      </c>
      <c r="U29" s="142">
        <v>3238</v>
      </c>
      <c r="V29" s="142" t="s">
        <v>122</v>
      </c>
      <c r="X29" s="142" t="str">
        <f t="shared" si="5"/>
        <v>32</v>
      </c>
      <c r="Y29" s="142" t="str">
        <f t="shared" si="6"/>
        <v>323</v>
      </c>
      <c r="AA29" s="142" t="s">
        <v>1229</v>
      </c>
      <c r="AB29" s="142" t="s">
        <v>1230</v>
      </c>
    </row>
    <row r="30" spans="1:28">
      <c r="A30" s="152"/>
      <c r="B30" s="147" t="str">
        <f t="shared" si="1"/>
        <v/>
      </c>
      <c r="C30" s="152"/>
      <c r="D30" s="147" t="str">
        <f t="shared" si="0"/>
        <v/>
      </c>
      <c r="E30" s="199"/>
      <c r="F30" s="147" t="str">
        <f t="shared" si="2"/>
        <v/>
      </c>
      <c r="G30" s="196"/>
      <c r="H30" s="196"/>
      <c r="I30" s="196"/>
      <c r="J30" s="224"/>
      <c r="K30" s="223"/>
      <c r="L30" s="223"/>
      <c r="M30" s="224"/>
      <c r="N30" s="224"/>
      <c r="P30" s="142" t="str">
        <f t="shared" si="3"/>
        <v/>
      </c>
      <c r="Q30" s="142" t="str">
        <f t="shared" si="4"/>
        <v/>
      </c>
      <c r="U30" s="142">
        <v>3239</v>
      </c>
      <c r="V30" s="142" t="s">
        <v>102</v>
      </c>
      <c r="X30" s="142" t="str">
        <f t="shared" si="5"/>
        <v>32</v>
      </c>
      <c r="Y30" s="142" t="str">
        <f t="shared" si="6"/>
        <v>323</v>
      </c>
      <c r="AA30" s="142" t="s">
        <v>1231</v>
      </c>
      <c r="AB30" s="142" t="s">
        <v>1232</v>
      </c>
    </row>
    <row r="31" spans="1:28">
      <c r="A31" s="152"/>
      <c r="B31" s="147" t="str">
        <f t="shared" si="1"/>
        <v/>
      </c>
      <c r="C31" s="152"/>
      <c r="D31" s="147" t="str">
        <f t="shared" si="0"/>
        <v/>
      </c>
      <c r="E31" s="199"/>
      <c r="F31" s="147" t="str">
        <f t="shared" si="2"/>
        <v/>
      </c>
      <c r="G31" s="196"/>
      <c r="H31" s="196"/>
      <c r="I31" s="196"/>
      <c r="J31" s="224"/>
      <c r="K31" s="223"/>
      <c r="L31" s="223"/>
      <c r="M31" s="224"/>
      <c r="N31" s="224"/>
      <c r="P31" s="142" t="str">
        <f t="shared" si="3"/>
        <v/>
      </c>
      <c r="Q31" s="142" t="str">
        <f t="shared" si="4"/>
        <v/>
      </c>
      <c r="U31" s="142">
        <v>3241</v>
      </c>
      <c r="V31" s="142" t="s">
        <v>99</v>
      </c>
      <c r="X31" s="142" t="str">
        <f t="shared" si="5"/>
        <v>32</v>
      </c>
      <c r="Y31" s="142" t="str">
        <f t="shared" si="6"/>
        <v>324</v>
      </c>
      <c r="AA31" s="142" t="s">
        <v>1233</v>
      </c>
      <c r="AB31" s="142" t="s">
        <v>1234</v>
      </c>
    </row>
    <row r="32" spans="1:28">
      <c r="A32" s="152"/>
      <c r="B32" s="147" t="str">
        <f t="shared" si="1"/>
        <v/>
      </c>
      <c r="C32" s="152"/>
      <c r="D32" s="147" t="str">
        <f t="shared" si="0"/>
        <v/>
      </c>
      <c r="E32" s="199"/>
      <c r="F32" s="147" t="str">
        <f t="shared" si="2"/>
        <v/>
      </c>
      <c r="G32" s="196"/>
      <c r="H32" s="196"/>
      <c r="I32" s="196"/>
      <c r="J32" s="224"/>
      <c r="K32" s="223"/>
      <c r="L32" s="223"/>
      <c r="M32" s="224"/>
      <c r="N32" s="224"/>
      <c r="P32" s="142" t="str">
        <f t="shared" si="3"/>
        <v/>
      </c>
      <c r="Q32" s="142" t="str">
        <f t="shared" si="4"/>
        <v/>
      </c>
      <c r="U32" s="142">
        <v>3291</v>
      </c>
      <c r="V32" s="142" t="s">
        <v>100</v>
      </c>
      <c r="X32" s="142" t="str">
        <f t="shared" si="5"/>
        <v>32</v>
      </c>
      <c r="Y32" s="142" t="str">
        <f t="shared" si="6"/>
        <v>329</v>
      </c>
      <c r="AA32" s="142" t="s">
        <v>1235</v>
      </c>
      <c r="AB32" s="142" t="s">
        <v>1236</v>
      </c>
    </row>
    <row r="33" spans="1:28">
      <c r="A33" s="152"/>
      <c r="B33" s="147" t="str">
        <f t="shared" si="1"/>
        <v/>
      </c>
      <c r="C33" s="152"/>
      <c r="D33" s="147" t="str">
        <f t="shared" si="0"/>
        <v/>
      </c>
      <c r="E33" s="199"/>
      <c r="F33" s="147" t="str">
        <f t="shared" si="2"/>
        <v/>
      </c>
      <c r="G33" s="196"/>
      <c r="H33" s="196"/>
      <c r="I33" s="196"/>
      <c r="J33" s="224"/>
      <c r="K33" s="223"/>
      <c r="L33" s="223"/>
      <c r="M33" s="224"/>
      <c r="N33" s="224"/>
      <c r="P33" s="142" t="str">
        <f t="shared" si="3"/>
        <v/>
      </c>
      <c r="Q33" s="142" t="str">
        <f t="shared" si="4"/>
        <v/>
      </c>
      <c r="U33" s="142">
        <v>3292</v>
      </c>
      <c r="V33" s="142" t="s">
        <v>93</v>
      </c>
      <c r="X33" s="142" t="str">
        <f t="shared" si="5"/>
        <v>32</v>
      </c>
      <c r="Y33" s="142" t="str">
        <f t="shared" si="6"/>
        <v>329</v>
      </c>
      <c r="AA33" s="142" t="s">
        <v>1237</v>
      </c>
      <c r="AB33" s="142" t="s">
        <v>1238</v>
      </c>
    </row>
    <row r="34" spans="1:28">
      <c r="A34" s="152"/>
      <c r="B34" s="147" t="str">
        <f t="shared" si="1"/>
        <v/>
      </c>
      <c r="C34" s="152"/>
      <c r="D34" s="147" t="str">
        <f t="shared" si="0"/>
        <v/>
      </c>
      <c r="E34" s="199"/>
      <c r="F34" s="147" t="str">
        <f t="shared" si="2"/>
        <v/>
      </c>
      <c r="G34" s="196"/>
      <c r="H34" s="196"/>
      <c r="I34" s="196"/>
      <c r="J34" s="224"/>
      <c r="K34" s="223"/>
      <c r="L34" s="223"/>
      <c r="M34" s="224"/>
      <c r="N34" s="224"/>
      <c r="P34" s="142" t="str">
        <f t="shared" si="3"/>
        <v/>
      </c>
      <c r="Q34" s="142" t="str">
        <f t="shared" si="4"/>
        <v/>
      </c>
      <c r="U34" s="142">
        <v>3293</v>
      </c>
      <c r="V34" s="142" t="s">
        <v>103</v>
      </c>
      <c r="X34" s="142" t="str">
        <f t="shared" si="5"/>
        <v>32</v>
      </c>
      <c r="Y34" s="142" t="str">
        <f t="shared" si="6"/>
        <v>329</v>
      </c>
      <c r="AA34" s="142" t="s">
        <v>1239</v>
      </c>
      <c r="AB34" s="142" t="s">
        <v>1240</v>
      </c>
    </row>
    <row r="35" spans="1:28">
      <c r="A35" s="152"/>
      <c r="B35" s="147" t="str">
        <f t="shared" si="1"/>
        <v/>
      </c>
      <c r="C35" s="152"/>
      <c r="D35" s="147" t="str">
        <f t="shared" si="0"/>
        <v/>
      </c>
      <c r="E35" s="199"/>
      <c r="F35" s="147" t="str">
        <f t="shared" si="2"/>
        <v/>
      </c>
      <c r="G35" s="196"/>
      <c r="H35" s="196"/>
      <c r="I35" s="196"/>
      <c r="J35" s="224"/>
      <c r="K35" s="223"/>
      <c r="L35" s="223"/>
      <c r="M35" s="224"/>
      <c r="N35" s="224"/>
      <c r="P35" s="142" t="str">
        <f t="shared" si="3"/>
        <v/>
      </c>
      <c r="Q35" s="142" t="str">
        <f t="shared" si="4"/>
        <v/>
      </c>
      <c r="U35" s="142">
        <v>3293</v>
      </c>
      <c r="V35" s="142" t="s">
        <v>151</v>
      </c>
      <c r="X35" s="142" t="str">
        <f t="shared" si="5"/>
        <v>32</v>
      </c>
      <c r="Y35" s="142" t="str">
        <f t="shared" si="6"/>
        <v>329</v>
      </c>
      <c r="AA35" s="142" t="s">
        <v>1241</v>
      </c>
      <c r="AB35" s="142" t="s">
        <v>1242</v>
      </c>
    </row>
    <row r="36" spans="1:28">
      <c r="A36" s="152"/>
      <c r="B36" s="147" t="str">
        <f t="shared" si="1"/>
        <v/>
      </c>
      <c r="C36" s="152"/>
      <c r="D36" s="147" t="str">
        <f t="shared" si="0"/>
        <v/>
      </c>
      <c r="E36" s="199"/>
      <c r="F36" s="147" t="str">
        <f t="shared" si="2"/>
        <v/>
      </c>
      <c r="G36" s="196"/>
      <c r="H36" s="196"/>
      <c r="I36" s="196"/>
      <c r="J36" s="224"/>
      <c r="K36" s="223"/>
      <c r="L36" s="223"/>
      <c r="M36" s="224"/>
      <c r="N36" s="224"/>
      <c r="P36" s="142" t="str">
        <f t="shared" si="3"/>
        <v/>
      </c>
      <c r="Q36" s="142" t="str">
        <f t="shared" si="4"/>
        <v/>
      </c>
      <c r="U36" s="142">
        <v>3294</v>
      </c>
      <c r="V36" s="142" t="s">
        <v>104</v>
      </c>
      <c r="X36" s="142" t="str">
        <f t="shared" si="5"/>
        <v>32</v>
      </c>
      <c r="Y36" s="142" t="str">
        <f t="shared" si="6"/>
        <v>329</v>
      </c>
      <c r="AA36" s="142" t="s">
        <v>1243</v>
      </c>
      <c r="AB36" s="142" t="s">
        <v>1244</v>
      </c>
    </row>
    <row r="37" spans="1:28">
      <c r="A37" s="152"/>
      <c r="B37" s="147" t="str">
        <f t="shared" si="1"/>
        <v/>
      </c>
      <c r="C37" s="152"/>
      <c r="D37" s="147" t="str">
        <f t="shared" si="0"/>
        <v/>
      </c>
      <c r="E37" s="199"/>
      <c r="F37" s="147" t="str">
        <f t="shared" si="2"/>
        <v/>
      </c>
      <c r="G37" s="196"/>
      <c r="H37" s="196"/>
      <c r="I37" s="196"/>
      <c r="J37" s="224"/>
      <c r="K37" s="223"/>
      <c r="L37" s="223"/>
      <c r="M37" s="224"/>
      <c r="N37" s="224"/>
      <c r="P37" s="142" t="str">
        <f t="shared" si="3"/>
        <v/>
      </c>
      <c r="Q37" s="142" t="str">
        <f t="shared" si="4"/>
        <v/>
      </c>
      <c r="U37" s="142">
        <v>3295</v>
      </c>
      <c r="V37" s="142" t="s">
        <v>73</v>
      </c>
      <c r="X37" s="142" t="str">
        <f t="shared" si="5"/>
        <v>32</v>
      </c>
      <c r="Y37" s="142" t="str">
        <f t="shared" si="6"/>
        <v>329</v>
      </c>
      <c r="AA37" s="142" t="s">
        <v>1245</v>
      </c>
      <c r="AB37" s="142" t="s">
        <v>1246</v>
      </c>
    </row>
    <row r="38" spans="1:28">
      <c r="A38" s="152"/>
      <c r="B38" s="147" t="str">
        <f t="shared" si="1"/>
        <v/>
      </c>
      <c r="C38" s="152"/>
      <c r="D38" s="147" t="str">
        <f t="shared" si="0"/>
        <v/>
      </c>
      <c r="E38" s="199"/>
      <c r="F38" s="147" t="str">
        <f t="shared" si="2"/>
        <v/>
      </c>
      <c r="G38" s="196"/>
      <c r="H38" s="196"/>
      <c r="I38" s="196"/>
      <c r="J38" s="224"/>
      <c r="K38" s="223"/>
      <c r="L38" s="223"/>
      <c r="M38" s="224"/>
      <c r="N38" s="224"/>
      <c r="P38" s="142" t="str">
        <f t="shared" si="3"/>
        <v/>
      </c>
      <c r="Q38" s="142" t="str">
        <f t="shared" si="4"/>
        <v/>
      </c>
      <c r="U38" s="142">
        <v>3296</v>
      </c>
      <c r="V38" s="142" t="s">
        <v>168</v>
      </c>
      <c r="X38" s="142" t="str">
        <f t="shared" si="5"/>
        <v>32</v>
      </c>
      <c r="Y38" s="142" t="str">
        <f t="shared" si="6"/>
        <v>329</v>
      </c>
      <c r="AA38" s="142" t="s">
        <v>1247</v>
      </c>
      <c r="AB38" s="142" t="s">
        <v>1248</v>
      </c>
    </row>
    <row r="39" spans="1:28">
      <c r="A39" s="152"/>
      <c r="B39" s="147" t="str">
        <f t="shared" si="1"/>
        <v/>
      </c>
      <c r="C39" s="152"/>
      <c r="D39" s="147" t="str">
        <f t="shared" si="0"/>
        <v/>
      </c>
      <c r="E39" s="199"/>
      <c r="F39" s="147" t="str">
        <f t="shared" si="2"/>
        <v/>
      </c>
      <c r="G39" s="196"/>
      <c r="H39" s="196"/>
      <c r="I39" s="196"/>
      <c r="J39" s="224"/>
      <c r="K39" s="223"/>
      <c r="L39" s="223"/>
      <c r="M39" s="224"/>
      <c r="N39" s="224"/>
      <c r="P39" s="142" t="str">
        <f t="shared" si="3"/>
        <v/>
      </c>
      <c r="Q39" s="142" t="str">
        <f t="shared" si="4"/>
        <v/>
      </c>
      <c r="U39" s="142">
        <v>3299</v>
      </c>
      <c r="V39" s="142" t="s">
        <v>76</v>
      </c>
      <c r="X39" s="142" t="str">
        <f t="shared" si="5"/>
        <v>32</v>
      </c>
      <c r="Y39" s="142" t="str">
        <f t="shared" si="6"/>
        <v>329</v>
      </c>
      <c r="AA39" s="142" t="s">
        <v>1249</v>
      </c>
      <c r="AB39" s="142" t="s">
        <v>1250</v>
      </c>
    </row>
    <row r="40" spans="1:28">
      <c r="A40" s="152"/>
      <c r="B40" s="147" t="str">
        <f t="shared" si="1"/>
        <v/>
      </c>
      <c r="C40" s="152"/>
      <c r="D40" s="147" t="str">
        <f t="shared" si="0"/>
        <v/>
      </c>
      <c r="E40" s="199"/>
      <c r="F40" s="147" t="str">
        <f t="shared" si="2"/>
        <v/>
      </c>
      <c r="G40" s="196"/>
      <c r="H40" s="196"/>
      <c r="I40" s="196"/>
      <c r="J40" s="224"/>
      <c r="K40" s="223"/>
      <c r="L40" s="223"/>
      <c r="M40" s="224"/>
      <c r="N40" s="224"/>
      <c r="P40" s="142" t="str">
        <f t="shared" si="3"/>
        <v/>
      </c>
      <c r="Q40" s="142" t="str">
        <f t="shared" si="4"/>
        <v/>
      </c>
      <c r="U40" s="142">
        <v>3411</v>
      </c>
      <c r="V40" s="142" t="s">
        <v>206</v>
      </c>
      <c r="X40" s="142" t="str">
        <f t="shared" si="5"/>
        <v>34</v>
      </c>
      <c r="Y40" s="142" t="str">
        <f t="shared" si="6"/>
        <v>341</v>
      </c>
      <c r="AA40" s="142" t="s">
        <v>1251</v>
      </c>
      <c r="AB40" s="142" t="s">
        <v>1252</v>
      </c>
    </row>
    <row r="41" spans="1:28">
      <c r="A41" s="152"/>
      <c r="B41" s="147" t="str">
        <f t="shared" si="1"/>
        <v/>
      </c>
      <c r="C41" s="152"/>
      <c r="D41" s="147" t="str">
        <f t="shared" si="0"/>
        <v/>
      </c>
      <c r="E41" s="199"/>
      <c r="F41" s="147" t="str">
        <f t="shared" si="2"/>
        <v/>
      </c>
      <c r="G41" s="196"/>
      <c r="H41" s="196"/>
      <c r="I41" s="196"/>
      <c r="J41" s="224"/>
      <c r="K41" s="223"/>
      <c r="L41" s="223"/>
      <c r="M41" s="224"/>
      <c r="N41" s="224"/>
      <c r="P41" s="142" t="str">
        <f t="shared" si="3"/>
        <v/>
      </c>
      <c r="Q41" s="142" t="str">
        <f t="shared" si="4"/>
        <v/>
      </c>
      <c r="U41" s="142">
        <v>3422</v>
      </c>
      <c r="V41" s="142" t="s">
        <v>169</v>
      </c>
      <c r="X41" s="142" t="str">
        <f t="shared" si="5"/>
        <v>34</v>
      </c>
      <c r="Y41" s="142" t="str">
        <f t="shared" si="6"/>
        <v>342</v>
      </c>
      <c r="AA41" s="142" t="s">
        <v>891</v>
      </c>
      <c r="AB41" s="142" t="s">
        <v>892</v>
      </c>
    </row>
    <row r="42" spans="1:28">
      <c r="A42" s="152"/>
      <c r="B42" s="147" t="str">
        <f t="shared" si="1"/>
        <v/>
      </c>
      <c r="C42" s="152"/>
      <c r="D42" s="147" t="str">
        <f t="shared" si="0"/>
        <v/>
      </c>
      <c r="E42" s="199"/>
      <c r="F42" s="147" t="str">
        <f t="shared" si="2"/>
        <v/>
      </c>
      <c r="G42" s="196"/>
      <c r="H42" s="196"/>
      <c r="I42" s="196"/>
      <c r="J42" s="224"/>
      <c r="K42" s="223"/>
      <c r="L42" s="223"/>
      <c r="M42" s="224"/>
      <c r="N42" s="224"/>
      <c r="P42" s="142" t="str">
        <f t="shared" si="3"/>
        <v/>
      </c>
      <c r="Q42" s="142" t="str">
        <f t="shared" si="4"/>
        <v/>
      </c>
      <c r="U42" s="142">
        <v>3423</v>
      </c>
      <c r="V42" s="142" t="s">
        <v>169</v>
      </c>
      <c r="X42" s="142" t="str">
        <f t="shared" si="5"/>
        <v>34</v>
      </c>
      <c r="Y42" s="142" t="str">
        <f t="shared" si="6"/>
        <v>342</v>
      </c>
      <c r="AA42" s="142" t="s">
        <v>893</v>
      </c>
      <c r="AB42" s="142" t="s">
        <v>894</v>
      </c>
    </row>
    <row r="43" spans="1:28">
      <c r="A43" s="152"/>
      <c r="B43" s="147" t="str">
        <f t="shared" si="1"/>
        <v/>
      </c>
      <c r="C43" s="152"/>
      <c r="D43" s="147" t="str">
        <f t="shared" si="0"/>
        <v/>
      </c>
      <c r="E43" s="199"/>
      <c r="F43" s="147" t="str">
        <f t="shared" si="2"/>
        <v/>
      </c>
      <c r="G43" s="196"/>
      <c r="H43" s="196"/>
      <c r="I43" s="196"/>
      <c r="J43" s="224"/>
      <c r="K43" s="223"/>
      <c r="L43" s="223"/>
      <c r="M43" s="224"/>
      <c r="N43" s="224"/>
      <c r="P43" s="142" t="str">
        <f t="shared" si="3"/>
        <v/>
      </c>
      <c r="Q43" s="142" t="str">
        <f t="shared" si="4"/>
        <v/>
      </c>
      <c r="U43" s="142">
        <v>3427</v>
      </c>
      <c r="V43" s="142" t="s">
        <v>208</v>
      </c>
      <c r="X43" s="142" t="str">
        <f t="shared" si="5"/>
        <v>34</v>
      </c>
      <c r="Y43" s="142" t="str">
        <f t="shared" si="6"/>
        <v>342</v>
      </c>
      <c r="AA43" s="142" t="s">
        <v>895</v>
      </c>
      <c r="AB43" s="142" t="s">
        <v>896</v>
      </c>
    </row>
    <row r="44" spans="1:28">
      <c r="A44" s="152"/>
      <c r="B44" s="147" t="str">
        <f t="shared" si="1"/>
        <v/>
      </c>
      <c r="C44" s="152"/>
      <c r="D44" s="147" t="str">
        <f t="shared" si="0"/>
        <v/>
      </c>
      <c r="E44" s="199"/>
      <c r="F44" s="147" t="str">
        <f t="shared" si="2"/>
        <v/>
      </c>
      <c r="G44" s="196"/>
      <c r="H44" s="196"/>
      <c r="I44" s="196"/>
      <c r="J44" s="224"/>
      <c r="K44" s="223"/>
      <c r="L44" s="223"/>
      <c r="M44" s="224"/>
      <c r="N44" s="224"/>
      <c r="P44" s="142" t="str">
        <f t="shared" si="3"/>
        <v/>
      </c>
      <c r="Q44" s="142" t="str">
        <f t="shared" si="4"/>
        <v/>
      </c>
      <c r="U44" s="142">
        <v>3431</v>
      </c>
      <c r="V44" s="142" t="s">
        <v>101</v>
      </c>
      <c r="X44" s="142" t="str">
        <f t="shared" si="5"/>
        <v>34</v>
      </c>
      <c r="Y44" s="142" t="str">
        <f t="shared" si="6"/>
        <v>343</v>
      </c>
      <c r="AA44" s="142" t="s">
        <v>897</v>
      </c>
      <c r="AB44" s="142" t="s">
        <v>898</v>
      </c>
    </row>
    <row r="45" spans="1:28">
      <c r="A45" s="152"/>
      <c r="B45" s="147" t="str">
        <f t="shared" si="1"/>
        <v/>
      </c>
      <c r="C45" s="152"/>
      <c r="D45" s="147" t="str">
        <f t="shared" si="0"/>
        <v/>
      </c>
      <c r="E45" s="199"/>
      <c r="F45" s="147" t="str">
        <f t="shared" si="2"/>
        <v/>
      </c>
      <c r="G45" s="196"/>
      <c r="H45" s="196"/>
      <c r="I45" s="196"/>
      <c r="J45" s="224"/>
      <c r="K45" s="223"/>
      <c r="L45" s="223"/>
      <c r="M45" s="224"/>
      <c r="N45" s="224"/>
      <c r="P45" s="142" t="str">
        <f t="shared" si="3"/>
        <v/>
      </c>
      <c r="Q45" s="142" t="str">
        <f t="shared" si="4"/>
        <v/>
      </c>
      <c r="U45" s="142">
        <v>3432</v>
      </c>
      <c r="V45" s="142" t="s">
        <v>117</v>
      </c>
      <c r="X45" s="142" t="str">
        <f t="shared" si="5"/>
        <v>34</v>
      </c>
      <c r="Y45" s="142" t="str">
        <f t="shared" si="6"/>
        <v>343</v>
      </c>
      <c r="AA45" s="142" t="s">
        <v>899</v>
      </c>
      <c r="AB45" s="142" t="s">
        <v>900</v>
      </c>
    </row>
    <row r="46" spans="1:28">
      <c r="A46" s="152"/>
      <c r="B46" s="147" t="str">
        <f t="shared" si="1"/>
        <v/>
      </c>
      <c r="C46" s="152"/>
      <c r="D46" s="147" t="str">
        <f t="shared" si="0"/>
        <v/>
      </c>
      <c r="E46" s="199"/>
      <c r="F46" s="147" t="str">
        <f t="shared" si="2"/>
        <v/>
      </c>
      <c r="G46" s="196"/>
      <c r="H46" s="196"/>
      <c r="I46" s="196"/>
      <c r="J46" s="224"/>
      <c r="K46" s="223"/>
      <c r="L46" s="223"/>
      <c r="M46" s="224"/>
      <c r="N46" s="224"/>
      <c r="P46" s="142" t="str">
        <f t="shared" si="3"/>
        <v/>
      </c>
      <c r="Q46" s="142" t="str">
        <f t="shared" si="4"/>
        <v/>
      </c>
      <c r="U46" s="142">
        <v>3433</v>
      </c>
      <c r="V46" s="142" t="s">
        <v>156</v>
      </c>
      <c r="X46" s="142" t="str">
        <f t="shared" si="5"/>
        <v>34</v>
      </c>
      <c r="Y46" s="142" t="str">
        <f t="shared" si="6"/>
        <v>343</v>
      </c>
      <c r="AA46" s="142" t="s">
        <v>901</v>
      </c>
      <c r="AB46" s="142" t="s">
        <v>902</v>
      </c>
    </row>
    <row r="47" spans="1:28">
      <c r="A47" s="152"/>
      <c r="B47" s="147" t="str">
        <f t="shared" si="1"/>
        <v/>
      </c>
      <c r="C47" s="152"/>
      <c r="D47" s="147" t="str">
        <f t="shared" si="0"/>
        <v/>
      </c>
      <c r="E47" s="199"/>
      <c r="F47" s="147" t="str">
        <f t="shared" si="2"/>
        <v/>
      </c>
      <c r="G47" s="196"/>
      <c r="H47" s="196"/>
      <c r="I47" s="196"/>
      <c r="J47" s="224"/>
      <c r="K47" s="223"/>
      <c r="L47" s="223"/>
      <c r="M47" s="224"/>
      <c r="N47" s="224"/>
      <c r="P47" s="142" t="str">
        <f t="shared" si="3"/>
        <v/>
      </c>
      <c r="Q47" s="142" t="str">
        <f t="shared" si="4"/>
        <v/>
      </c>
      <c r="U47" s="142">
        <v>3434</v>
      </c>
      <c r="V47" s="142" t="s">
        <v>86</v>
      </c>
      <c r="X47" s="142" t="str">
        <f t="shared" si="5"/>
        <v>34</v>
      </c>
      <c r="Y47" s="142" t="str">
        <f t="shared" si="6"/>
        <v>343</v>
      </c>
      <c r="AA47" s="142" t="s">
        <v>903</v>
      </c>
      <c r="AB47" s="142" t="s">
        <v>904</v>
      </c>
    </row>
    <row r="48" spans="1:28">
      <c r="A48" s="152"/>
      <c r="B48" s="147" t="str">
        <f t="shared" si="1"/>
        <v/>
      </c>
      <c r="C48" s="152"/>
      <c r="D48" s="147" t="str">
        <f t="shared" si="0"/>
        <v/>
      </c>
      <c r="E48" s="199"/>
      <c r="F48" s="147" t="str">
        <f t="shared" si="2"/>
        <v/>
      </c>
      <c r="G48" s="196"/>
      <c r="H48" s="196"/>
      <c r="I48" s="196"/>
      <c r="J48" s="224"/>
      <c r="K48" s="223"/>
      <c r="L48" s="223"/>
      <c r="M48" s="224"/>
      <c r="N48" s="224"/>
      <c r="P48" s="142" t="str">
        <f t="shared" si="3"/>
        <v/>
      </c>
      <c r="Q48" s="142" t="str">
        <f t="shared" si="4"/>
        <v/>
      </c>
      <c r="U48" s="142">
        <v>3511</v>
      </c>
      <c r="V48" s="142" t="s">
        <v>199</v>
      </c>
      <c r="X48" s="142" t="str">
        <f t="shared" si="5"/>
        <v>35</v>
      </c>
      <c r="Y48" s="142" t="str">
        <f t="shared" si="6"/>
        <v>351</v>
      </c>
      <c r="AA48" s="142" t="s">
        <v>905</v>
      </c>
      <c r="AB48" s="142" t="s">
        <v>906</v>
      </c>
    </row>
    <row r="49" spans="1:28">
      <c r="A49" s="152"/>
      <c r="B49" s="147" t="str">
        <f t="shared" si="1"/>
        <v/>
      </c>
      <c r="C49" s="152"/>
      <c r="D49" s="147" t="str">
        <f t="shared" si="0"/>
        <v/>
      </c>
      <c r="E49" s="199"/>
      <c r="F49" s="147" t="str">
        <f t="shared" si="2"/>
        <v/>
      </c>
      <c r="G49" s="196"/>
      <c r="H49" s="196"/>
      <c r="I49" s="196"/>
      <c r="J49" s="224"/>
      <c r="K49" s="223"/>
      <c r="L49" s="223"/>
      <c r="M49" s="224"/>
      <c r="N49" s="224"/>
      <c r="P49" s="142" t="str">
        <f t="shared" si="3"/>
        <v/>
      </c>
      <c r="Q49" s="142" t="str">
        <f t="shared" si="4"/>
        <v/>
      </c>
      <c r="U49" s="142">
        <v>3512</v>
      </c>
      <c r="V49" s="142" t="s">
        <v>201</v>
      </c>
      <c r="X49" s="142" t="str">
        <f t="shared" si="5"/>
        <v>35</v>
      </c>
      <c r="Y49" s="142" t="str">
        <f t="shared" si="6"/>
        <v>351</v>
      </c>
      <c r="AA49" s="142" t="s">
        <v>907</v>
      </c>
      <c r="AB49" s="142" t="s">
        <v>908</v>
      </c>
    </row>
    <row r="50" spans="1:28">
      <c r="A50" s="152"/>
      <c r="B50" s="147" t="str">
        <f t="shared" si="1"/>
        <v/>
      </c>
      <c r="C50" s="152"/>
      <c r="D50" s="147" t="str">
        <f t="shared" si="0"/>
        <v/>
      </c>
      <c r="E50" s="199"/>
      <c r="F50" s="147" t="str">
        <f t="shared" si="2"/>
        <v/>
      </c>
      <c r="G50" s="196"/>
      <c r="H50" s="196"/>
      <c r="I50" s="196"/>
      <c r="J50" s="224"/>
      <c r="K50" s="223"/>
      <c r="L50" s="223"/>
      <c r="M50" s="224"/>
      <c r="N50" s="224"/>
      <c r="P50" s="142" t="str">
        <f t="shared" si="3"/>
        <v/>
      </c>
      <c r="Q50" s="142" t="str">
        <f t="shared" si="4"/>
        <v/>
      </c>
      <c r="U50" s="142">
        <v>3522</v>
      </c>
      <c r="V50" s="142" t="s">
        <v>287</v>
      </c>
      <c r="X50" s="142" t="str">
        <f t="shared" si="5"/>
        <v>35</v>
      </c>
      <c r="Y50" s="142" t="str">
        <f t="shared" si="6"/>
        <v>352</v>
      </c>
      <c r="AA50" s="142" t="s">
        <v>909</v>
      </c>
      <c r="AB50" s="142" t="s">
        <v>910</v>
      </c>
    </row>
    <row r="51" spans="1:28">
      <c r="A51" s="152"/>
      <c r="B51" s="147" t="str">
        <f t="shared" si="1"/>
        <v/>
      </c>
      <c r="C51" s="152"/>
      <c r="D51" s="147" t="str">
        <f t="shared" si="0"/>
        <v/>
      </c>
      <c r="E51" s="199"/>
      <c r="F51" s="147" t="str">
        <f t="shared" si="2"/>
        <v/>
      </c>
      <c r="G51" s="196"/>
      <c r="H51" s="196"/>
      <c r="I51" s="196"/>
      <c r="J51" s="224"/>
      <c r="K51" s="223"/>
      <c r="L51" s="223"/>
      <c r="M51" s="224"/>
      <c r="N51" s="224"/>
      <c r="P51" s="142" t="str">
        <f t="shared" si="3"/>
        <v/>
      </c>
      <c r="Q51" s="142" t="str">
        <f t="shared" si="4"/>
        <v/>
      </c>
      <c r="U51" s="142">
        <v>3531</v>
      </c>
      <c r="V51" s="142" t="s">
        <v>153</v>
      </c>
      <c r="X51" s="142" t="str">
        <f t="shared" si="5"/>
        <v>35</v>
      </c>
      <c r="Y51" s="142" t="str">
        <f t="shared" si="6"/>
        <v>353</v>
      </c>
      <c r="AA51" s="142" t="s">
        <v>911</v>
      </c>
      <c r="AB51" s="142" t="s">
        <v>912</v>
      </c>
    </row>
    <row r="52" spans="1:28">
      <c r="A52" s="152"/>
      <c r="B52" s="147" t="str">
        <f t="shared" si="1"/>
        <v/>
      </c>
      <c r="C52" s="152"/>
      <c r="D52" s="147" t="str">
        <f t="shared" si="0"/>
        <v/>
      </c>
      <c r="E52" s="199"/>
      <c r="F52" s="147" t="str">
        <f t="shared" si="2"/>
        <v/>
      </c>
      <c r="G52" s="196"/>
      <c r="H52" s="196"/>
      <c r="I52" s="196"/>
      <c r="J52" s="224"/>
      <c r="K52" s="223"/>
      <c r="L52" s="223"/>
      <c r="M52" s="224"/>
      <c r="N52" s="224"/>
      <c r="P52" s="142" t="str">
        <f t="shared" si="3"/>
        <v/>
      </c>
      <c r="Q52" s="142" t="str">
        <f t="shared" si="4"/>
        <v/>
      </c>
      <c r="U52" s="142">
        <v>3611</v>
      </c>
      <c r="V52" s="142" t="s">
        <v>106</v>
      </c>
      <c r="X52" s="142" t="str">
        <f t="shared" si="5"/>
        <v>36</v>
      </c>
      <c r="Y52" s="142" t="str">
        <f t="shared" si="6"/>
        <v>361</v>
      </c>
      <c r="AA52" s="142" t="s">
        <v>913</v>
      </c>
      <c r="AB52" s="142" t="s">
        <v>914</v>
      </c>
    </row>
    <row r="53" spans="1:28">
      <c r="A53" s="152"/>
      <c r="B53" s="147" t="str">
        <f t="shared" si="1"/>
        <v/>
      </c>
      <c r="C53" s="152"/>
      <c r="D53" s="147" t="str">
        <f t="shared" si="0"/>
        <v/>
      </c>
      <c r="E53" s="199"/>
      <c r="F53" s="147" t="str">
        <f t="shared" si="2"/>
        <v/>
      </c>
      <c r="G53" s="196"/>
      <c r="H53" s="196"/>
      <c r="I53" s="196"/>
      <c r="J53" s="224"/>
      <c r="K53" s="223"/>
      <c r="L53" s="223"/>
      <c r="M53" s="224"/>
      <c r="N53" s="224"/>
      <c r="P53" s="142" t="str">
        <f t="shared" si="3"/>
        <v/>
      </c>
      <c r="Q53" s="142" t="str">
        <f t="shared" si="4"/>
        <v/>
      </c>
      <c r="U53" s="142">
        <v>3621</v>
      </c>
      <c r="V53" s="142" t="s">
        <v>157</v>
      </c>
      <c r="X53" s="142" t="str">
        <f t="shared" si="5"/>
        <v>36</v>
      </c>
      <c r="Y53" s="142" t="str">
        <f t="shared" si="6"/>
        <v>362</v>
      </c>
      <c r="AA53" s="142" t="s">
        <v>915</v>
      </c>
      <c r="AB53" s="142" t="s">
        <v>916</v>
      </c>
    </row>
    <row r="54" spans="1:28">
      <c r="A54" s="152"/>
      <c r="B54" s="147" t="str">
        <f t="shared" si="1"/>
        <v/>
      </c>
      <c r="C54" s="152"/>
      <c r="D54" s="147" t="str">
        <f t="shared" si="0"/>
        <v/>
      </c>
      <c r="E54" s="199"/>
      <c r="F54" s="147" t="str">
        <f t="shared" si="2"/>
        <v/>
      </c>
      <c r="G54" s="196"/>
      <c r="H54" s="196"/>
      <c r="I54" s="196"/>
      <c r="J54" s="224"/>
      <c r="K54" s="223"/>
      <c r="L54" s="223"/>
      <c r="M54" s="224"/>
      <c r="N54" s="224"/>
      <c r="P54" s="142" t="str">
        <f t="shared" si="3"/>
        <v/>
      </c>
      <c r="Q54" s="142" t="str">
        <f t="shared" si="4"/>
        <v/>
      </c>
      <c r="U54" s="142">
        <v>3631</v>
      </c>
      <c r="V54" s="142" t="s">
        <v>198</v>
      </c>
      <c r="X54" s="142" t="str">
        <f t="shared" si="5"/>
        <v>36</v>
      </c>
      <c r="Y54" s="142" t="str">
        <f t="shared" si="6"/>
        <v>363</v>
      </c>
      <c r="AA54" s="142" t="s">
        <v>917</v>
      </c>
      <c r="AB54" s="142" t="s">
        <v>918</v>
      </c>
    </row>
    <row r="55" spans="1:28">
      <c r="A55" s="152"/>
      <c r="B55" s="147" t="str">
        <f t="shared" si="1"/>
        <v/>
      </c>
      <c r="C55" s="152"/>
      <c r="D55" s="147" t="str">
        <f t="shared" si="0"/>
        <v/>
      </c>
      <c r="E55" s="199"/>
      <c r="F55" s="147" t="str">
        <f t="shared" si="2"/>
        <v/>
      </c>
      <c r="G55" s="196"/>
      <c r="H55" s="196"/>
      <c r="I55" s="196"/>
      <c r="J55" s="224"/>
      <c r="K55" s="223"/>
      <c r="L55" s="223"/>
      <c r="M55" s="224"/>
      <c r="N55" s="224"/>
      <c r="P55" s="142" t="str">
        <f t="shared" si="3"/>
        <v/>
      </c>
      <c r="Q55" s="142" t="str">
        <f t="shared" si="4"/>
        <v/>
      </c>
      <c r="U55" s="142">
        <v>3632</v>
      </c>
      <c r="V55" s="142" t="s">
        <v>288</v>
      </c>
      <c r="X55" s="142" t="str">
        <f t="shared" si="5"/>
        <v>36</v>
      </c>
      <c r="Y55" s="142" t="str">
        <f t="shared" si="6"/>
        <v>363</v>
      </c>
      <c r="AA55" s="142" t="s">
        <v>919</v>
      </c>
      <c r="AB55" s="142" t="s">
        <v>920</v>
      </c>
    </row>
    <row r="56" spans="1:28">
      <c r="A56" s="152"/>
      <c r="B56" s="147" t="str">
        <f t="shared" si="1"/>
        <v/>
      </c>
      <c r="C56" s="152"/>
      <c r="D56" s="147" t="str">
        <f t="shared" si="0"/>
        <v/>
      </c>
      <c r="E56" s="199"/>
      <c r="F56" s="147" t="str">
        <f t="shared" si="2"/>
        <v/>
      </c>
      <c r="G56" s="196"/>
      <c r="H56" s="196"/>
      <c r="I56" s="196"/>
      <c r="J56" s="224"/>
      <c r="K56" s="223"/>
      <c r="L56" s="223"/>
      <c r="M56" s="224"/>
      <c r="N56" s="224"/>
      <c r="P56" s="142" t="str">
        <f t="shared" si="3"/>
        <v/>
      </c>
      <c r="Q56" s="142" t="str">
        <f t="shared" si="4"/>
        <v/>
      </c>
      <c r="U56" s="142">
        <v>3661</v>
      </c>
      <c r="V56" s="142" t="s">
        <v>118</v>
      </c>
      <c r="X56" s="142" t="str">
        <f t="shared" si="5"/>
        <v>36</v>
      </c>
      <c r="Y56" s="142" t="str">
        <f t="shared" si="6"/>
        <v>366</v>
      </c>
      <c r="AA56" s="142" t="s">
        <v>921</v>
      </c>
      <c r="AB56" s="142" t="s">
        <v>922</v>
      </c>
    </row>
    <row r="57" spans="1:28">
      <c r="A57" s="152"/>
      <c r="B57" s="147" t="str">
        <f t="shared" si="1"/>
        <v/>
      </c>
      <c r="C57" s="152"/>
      <c r="D57" s="147" t="str">
        <f t="shared" si="0"/>
        <v/>
      </c>
      <c r="E57" s="199"/>
      <c r="F57" s="147" t="str">
        <f t="shared" si="2"/>
        <v/>
      </c>
      <c r="G57" s="196"/>
      <c r="H57" s="196"/>
      <c r="I57" s="196"/>
      <c r="J57" s="224"/>
      <c r="K57" s="223"/>
      <c r="L57" s="223"/>
      <c r="M57" s="224"/>
      <c r="N57" s="224"/>
      <c r="P57" s="142" t="str">
        <f t="shared" si="3"/>
        <v/>
      </c>
      <c r="Q57" s="142" t="str">
        <f t="shared" si="4"/>
        <v/>
      </c>
      <c r="U57" s="142">
        <v>3662</v>
      </c>
      <c r="V57" s="142" t="s">
        <v>202</v>
      </c>
      <c r="X57" s="142" t="str">
        <f t="shared" si="5"/>
        <v>36</v>
      </c>
      <c r="Y57" s="142" t="str">
        <f t="shared" si="6"/>
        <v>366</v>
      </c>
      <c r="AA57" s="142" t="s">
        <v>923</v>
      </c>
      <c r="AB57" s="142" t="s">
        <v>924</v>
      </c>
    </row>
    <row r="58" spans="1:28">
      <c r="A58" s="152"/>
      <c r="B58" s="147" t="str">
        <f t="shared" si="1"/>
        <v/>
      </c>
      <c r="C58" s="152"/>
      <c r="D58" s="147" t="str">
        <f t="shared" si="0"/>
        <v/>
      </c>
      <c r="E58" s="199"/>
      <c r="F58" s="147" t="str">
        <f t="shared" si="2"/>
        <v/>
      </c>
      <c r="G58" s="196"/>
      <c r="H58" s="196"/>
      <c r="I58" s="196"/>
      <c r="J58" s="224"/>
      <c r="K58" s="223"/>
      <c r="L58" s="223"/>
      <c r="M58" s="224"/>
      <c r="N58" s="224"/>
      <c r="P58" s="142" t="str">
        <f t="shared" si="3"/>
        <v/>
      </c>
      <c r="Q58" s="142" t="str">
        <f t="shared" si="4"/>
        <v/>
      </c>
      <c r="U58" s="142">
        <v>3681</v>
      </c>
      <c r="V58" s="142" t="s">
        <v>33</v>
      </c>
      <c r="X58" s="142" t="str">
        <f t="shared" si="5"/>
        <v>36</v>
      </c>
      <c r="Y58" s="142" t="str">
        <f t="shared" si="6"/>
        <v>368</v>
      </c>
      <c r="AA58" s="142" t="s">
        <v>925</v>
      </c>
      <c r="AB58" s="142" t="s">
        <v>926</v>
      </c>
    </row>
    <row r="59" spans="1:28">
      <c r="A59" s="152"/>
      <c r="B59" s="147" t="str">
        <f t="shared" si="1"/>
        <v/>
      </c>
      <c r="C59" s="152"/>
      <c r="D59" s="147" t="str">
        <f t="shared" si="0"/>
        <v/>
      </c>
      <c r="E59" s="199"/>
      <c r="F59" s="147" t="str">
        <f t="shared" si="2"/>
        <v/>
      </c>
      <c r="G59" s="196"/>
      <c r="H59" s="196"/>
      <c r="I59" s="196"/>
      <c r="J59" s="224"/>
      <c r="K59" s="223"/>
      <c r="L59" s="223"/>
      <c r="M59" s="224"/>
      <c r="N59" s="224"/>
      <c r="P59" s="142" t="str">
        <f t="shared" si="3"/>
        <v/>
      </c>
      <c r="Q59" s="142" t="str">
        <f t="shared" si="4"/>
        <v/>
      </c>
      <c r="U59" s="142">
        <v>3682</v>
      </c>
      <c r="V59" s="142" t="s">
        <v>34</v>
      </c>
      <c r="X59" s="142" t="str">
        <f t="shared" si="5"/>
        <v>36</v>
      </c>
      <c r="Y59" s="142" t="str">
        <f t="shared" si="6"/>
        <v>368</v>
      </c>
      <c r="AA59" s="142" t="s">
        <v>927</v>
      </c>
      <c r="AB59" s="142" t="s">
        <v>928</v>
      </c>
    </row>
    <row r="60" spans="1:28">
      <c r="A60" s="152"/>
      <c r="B60" s="147" t="str">
        <f t="shared" si="1"/>
        <v/>
      </c>
      <c r="C60" s="152"/>
      <c r="D60" s="147" t="str">
        <f t="shared" si="0"/>
        <v/>
      </c>
      <c r="E60" s="199"/>
      <c r="F60" s="147" t="str">
        <f t="shared" si="2"/>
        <v/>
      </c>
      <c r="G60" s="196"/>
      <c r="H60" s="196"/>
      <c r="I60" s="196"/>
      <c r="J60" s="224"/>
      <c r="K60" s="223"/>
      <c r="L60" s="223"/>
      <c r="M60" s="224"/>
      <c r="N60" s="224"/>
      <c r="P60" s="142" t="str">
        <f t="shared" si="3"/>
        <v/>
      </c>
      <c r="Q60" s="142" t="str">
        <f t="shared" si="4"/>
        <v/>
      </c>
      <c r="U60" s="142">
        <v>3691</v>
      </c>
      <c r="V60" s="142" t="s">
        <v>123</v>
      </c>
      <c r="X60" s="142" t="str">
        <f t="shared" si="5"/>
        <v>36</v>
      </c>
      <c r="Y60" s="142" t="str">
        <f t="shared" si="6"/>
        <v>369</v>
      </c>
      <c r="AA60" s="142" t="s">
        <v>929</v>
      </c>
      <c r="AB60" s="142" t="s">
        <v>930</v>
      </c>
    </row>
    <row r="61" spans="1:28">
      <c r="A61" s="152"/>
      <c r="B61" s="147" t="str">
        <f t="shared" si="1"/>
        <v/>
      </c>
      <c r="C61" s="152"/>
      <c r="D61" s="147" t="str">
        <f t="shared" si="0"/>
        <v/>
      </c>
      <c r="E61" s="199"/>
      <c r="F61" s="147" t="str">
        <f t="shared" si="2"/>
        <v/>
      </c>
      <c r="G61" s="196"/>
      <c r="H61" s="196"/>
      <c r="I61" s="196"/>
      <c r="J61" s="224"/>
      <c r="K61" s="223"/>
      <c r="L61" s="223"/>
      <c r="M61" s="224"/>
      <c r="N61" s="224"/>
      <c r="P61" s="142" t="str">
        <f t="shared" si="3"/>
        <v/>
      </c>
      <c r="Q61" s="142" t="str">
        <f t="shared" si="4"/>
        <v/>
      </c>
      <c r="U61" s="142">
        <v>3692</v>
      </c>
      <c r="V61" s="142" t="s">
        <v>196</v>
      </c>
      <c r="X61" s="142" t="str">
        <f t="shared" si="5"/>
        <v>36</v>
      </c>
      <c r="Y61" s="142" t="str">
        <f t="shared" si="6"/>
        <v>369</v>
      </c>
      <c r="AA61" s="142" t="s">
        <v>931</v>
      </c>
      <c r="AB61" s="142" t="s">
        <v>932</v>
      </c>
    </row>
    <row r="62" spans="1:28">
      <c r="A62" s="152"/>
      <c r="B62" s="147" t="str">
        <f t="shared" si="1"/>
        <v/>
      </c>
      <c r="C62" s="152"/>
      <c r="D62" s="147" t="str">
        <f t="shared" si="0"/>
        <v/>
      </c>
      <c r="E62" s="199"/>
      <c r="F62" s="147" t="str">
        <f t="shared" si="2"/>
        <v/>
      </c>
      <c r="G62" s="196"/>
      <c r="H62" s="196"/>
      <c r="I62" s="196"/>
      <c r="J62" s="224"/>
      <c r="K62" s="223"/>
      <c r="L62" s="223"/>
      <c r="M62" s="224"/>
      <c r="N62" s="224"/>
      <c r="P62" s="142" t="str">
        <f t="shared" si="3"/>
        <v/>
      </c>
      <c r="Q62" s="142" t="str">
        <f t="shared" si="4"/>
        <v/>
      </c>
      <c r="U62" s="142">
        <v>3693</v>
      </c>
      <c r="V62" s="142" t="s">
        <v>123</v>
      </c>
      <c r="X62" s="142" t="str">
        <f t="shared" si="5"/>
        <v>36</v>
      </c>
      <c r="Y62" s="142" t="str">
        <f t="shared" si="6"/>
        <v>369</v>
      </c>
      <c r="AA62" s="142" t="s">
        <v>933</v>
      </c>
      <c r="AB62" s="142" t="s">
        <v>934</v>
      </c>
    </row>
    <row r="63" spans="1:28">
      <c r="A63" s="152"/>
      <c r="B63" s="147" t="str">
        <f t="shared" si="1"/>
        <v/>
      </c>
      <c r="C63" s="152"/>
      <c r="D63" s="147" t="str">
        <f t="shared" si="0"/>
        <v/>
      </c>
      <c r="E63" s="199"/>
      <c r="F63" s="147" t="str">
        <f t="shared" si="2"/>
        <v/>
      </c>
      <c r="G63" s="196"/>
      <c r="H63" s="196"/>
      <c r="I63" s="196"/>
      <c r="J63" s="224"/>
      <c r="K63" s="223"/>
      <c r="L63" s="223"/>
      <c r="M63" s="224"/>
      <c r="N63" s="224"/>
      <c r="P63" s="142" t="str">
        <f t="shared" si="3"/>
        <v/>
      </c>
      <c r="Q63" s="142" t="str">
        <f t="shared" si="4"/>
        <v/>
      </c>
      <c r="U63" s="142">
        <v>3694</v>
      </c>
      <c r="V63" s="142" t="s">
        <v>196</v>
      </c>
      <c r="X63" s="142" t="str">
        <f t="shared" si="5"/>
        <v>36</v>
      </c>
      <c r="Y63" s="142" t="str">
        <f t="shared" si="6"/>
        <v>369</v>
      </c>
      <c r="AA63" s="142" t="s">
        <v>935</v>
      </c>
      <c r="AB63" s="142" t="s">
        <v>936</v>
      </c>
    </row>
    <row r="64" spans="1:28">
      <c r="A64" s="152"/>
      <c r="B64" s="147" t="str">
        <f t="shared" si="1"/>
        <v/>
      </c>
      <c r="C64" s="152"/>
      <c r="D64" s="147" t="str">
        <f t="shared" si="0"/>
        <v/>
      </c>
      <c r="E64" s="199"/>
      <c r="F64" s="147" t="str">
        <f t="shared" si="2"/>
        <v/>
      </c>
      <c r="G64" s="196"/>
      <c r="H64" s="196"/>
      <c r="I64" s="196"/>
      <c r="J64" s="224"/>
      <c r="K64" s="223"/>
      <c r="L64" s="223"/>
      <c r="M64" s="224"/>
      <c r="N64" s="224"/>
      <c r="P64" s="142" t="str">
        <f t="shared" si="3"/>
        <v/>
      </c>
      <c r="Q64" s="142" t="str">
        <f t="shared" si="4"/>
        <v/>
      </c>
      <c r="U64" s="142">
        <v>3711</v>
      </c>
      <c r="V64" s="142" t="s">
        <v>143</v>
      </c>
      <c r="X64" s="142" t="str">
        <f t="shared" si="5"/>
        <v>37</v>
      </c>
      <c r="Y64" s="142" t="str">
        <f t="shared" si="6"/>
        <v>371</v>
      </c>
      <c r="AA64" s="142" t="s">
        <v>937</v>
      </c>
      <c r="AB64" s="142" t="s">
        <v>938</v>
      </c>
    </row>
    <row r="65" spans="1:28">
      <c r="A65" s="152"/>
      <c r="B65" s="147" t="str">
        <f t="shared" si="1"/>
        <v/>
      </c>
      <c r="C65" s="152"/>
      <c r="D65" s="147" t="str">
        <f t="shared" si="0"/>
        <v/>
      </c>
      <c r="E65" s="199"/>
      <c r="F65" s="147" t="str">
        <f t="shared" si="2"/>
        <v/>
      </c>
      <c r="G65" s="196"/>
      <c r="H65" s="196"/>
      <c r="I65" s="196"/>
      <c r="J65" s="224"/>
      <c r="K65" s="223"/>
      <c r="L65" s="223"/>
      <c r="M65" s="224"/>
      <c r="N65" s="224"/>
      <c r="P65" s="142" t="str">
        <f t="shared" si="3"/>
        <v/>
      </c>
      <c r="Q65" s="142" t="str">
        <f t="shared" si="4"/>
        <v/>
      </c>
      <c r="U65" s="142">
        <v>3712</v>
      </c>
      <c r="V65" s="142" t="s">
        <v>161</v>
      </c>
      <c r="X65" s="142" t="str">
        <f t="shared" si="5"/>
        <v>37</v>
      </c>
      <c r="Y65" s="142" t="str">
        <f t="shared" si="6"/>
        <v>371</v>
      </c>
      <c r="AA65" s="142" t="s">
        <v>939</v>
      </c>
      <c r="AB65" s="142" t="s">
        <v>940</v>
      </c>
    </row>
    <row r="66" spans="1:28">
      <c r="A66" s="152"/>
      <c r="B66" s="147" t="str">
        <f t="shared" si="1"/>
        <v/>
      </c>
      <c r="C66" s="152"/>
      <c r="D66" s="147" t="str">
        <f t="shared" si="0"/>
        <v/>
      </c>
      <c r="E66" s="199"/>
      <c r="F66" s="147" t="str">
        <f t="shared" si="2"/>
        <v/>
      </c>
      <c r="G66" s="196"/>
      <c r="H66" s="196"/>
      <c r="I66" s="196"/>
      <c r="J66" s="224"/>
      <c r="K66" s="223"/>
      <c r="L66" s="223"/>
      <c r="M66" s="224"/>
      <c r="N66" s="224"/>
      <c r="P66" s="142" t="str">
        <f t="shared" si="3"/>
        <v/>
      </c>
      <c r="Q66" s="142" t="str">
        <f t="shared" si="4"/>
        <v/>
      </c>
      <c r="U66" s="142">
        <v>3713</v>
      </c>
      <c r="V66" s="142" t="s">
        <v>188</v>
      </c>
      <c r="X66" s="142" t="str">
        <f t="shared" si="5"/>
        <v>37</v>
      </c>
      <c r="Y66" s="142" t="str">
        <f t="shared" si="6"/>
        <v>371</v>
      </c>
      <c r="AA66" s="142" t="s">
        <v>941</v>
      </c>
      <c r="AB66" s="142" t="s">
        <v>942</v>
      </c>
    </row>
    <row r="67" spans="1:28">
      <c r="A67" s="152"/>
      <c r="B67" s="147" t="str">
        <f t="shared" si="1"/>
        <v/>
      </c>
      <c r="C67" s="152"/>
      <c r="D67" s="147" t="str">
        <f t="shared" ref="D67:D130" si="7">IFERROR(VLOOKUP(C67,$U$5:$W$129,2,FALSE),"")</f>
        <v/>
      </c>
      <c r="E67" s="199"/>
      <c r="F67" s="147" t="str">
        <f t="shared" si="2"/>
        <v/>
      </c>
      <c r="G67" s="196"/>
      <c r="H67" s="196"/>
      <c r="I67" s="196"/>
      <c r="J67" s="224"/>
      <c r="K67" s="223"/>
      <c r="L67" s="223"/>
      <c r="M67" s="224"/>
      <c r="N67" s="224"/>
      <c r="P67" s="142" t="str">
        <f t="shared" si="3"/>
        <v/>
      </c>
      <c r="Q67" s="142" t="str">
        <f t="shared" si="4"/>
        <v/>
      </c>
      <c r="U67" s="142">
        <v>3714</v>
      </c>
      <c r="V67" s="142" t="s">
        <v>209</v>
      </c>
      <c r="X67" s="142" t="str">
        <f t="shared" si="5"/>
        <v>37</v>
      </c>
      <c r="Y67" s="142" t="str">
        <f t="shared" si="6"/>
        <v>371</v>
      </c>
      <c r="AA67" s="142" t="s">
        <v>943</v>
      </c>
      <c r="AB67" s="142" t="s">
        <v>944</v>
      </c>
    </row>
    <row r="68" spans="1:28">
      <c r="A68" s="152"/>
      <c r="B68" s="147" t="str">
        <f t="shared" ref="B68:B131" si="8">IFERROR(VLOOKUP(A68,$R$6:$S$22,2,FALSE),"")</f>
        <v/>
      </c>
      <c r="C68" s="152"/>
      <c r="D68" s="147" t="str">
        <f t="shared" si="7"/>
        <v/>
      </c>
      <c r="E68" s="199"/>
      <c r="F68" s="147" t="str">
        <f t="shared" ref="F68:F131" si="9">IFERROR(VLOOKUP(E68,$AA$6:$AB$239,2,FALSE),"")</f>
        <v/>
      </c>
      <c r="G68" s="196"/>
      <c r="H68" s="196"/>
      <c r="I68" s="196"/>
      <c r="J68" s="224"/>
      <c r="K68" s="223"/>
      <c r="L68" s="223"/>
      <c r="M68" s="224"/>
      <c r="N68" s="224"/>
      <c r="P68" s="142" t="str">
        <f t="shared" ref="P68:P131" si="10">LEFT(C68,3)</f>
        <v/>
      </c>
      <c r="Q68" s="142" t="str">
        <f t="shared" ref="Q68:Q131" si="11">LEFT(C68,2)</f>
        <v/>
      </c>
      <c r="U68" s="142">
        <v>3715</v>
      </c>
      <c r="V68" s="142" t="s">
        <v>147</v>
      </c>
      <c r="X68" s="142" t="str">
        <f t="shared" si="5"/>
        <v>37</v>
      </c>
      <c r="Y68" s="142" t="str">
        <f t="shared" si="6"/>
        <v>371</v>
      </c>
      <c r="AA68" s="142" t="s">
        <v>945</v>
      </c>
      <c r="AB68" s="142" t="s">
        <v>946</v>
      </c>
    </row>
    <row r="69" spans="1:28">
      <c r="A69" s="152"/>
      <c r="B69" s="147" t="str">
        <f t="shared" si="8"/>
        <v/>
      </c>
      <c r="C69" s="152"/>
      <c r="D69" s="147" t="str">
        <f t="shared" si="7"/>
        <v/>
      </c>
      <c r="E69" s="199"/>
      <c r="F69" s="147" t="str">
        <f t="shared" si="9"/>
        <v/>
      </c>
      <c r="G69" s="196"/>
      <c r="H69" s="196"/>
      <c r="I69" s="196"/>
      <c r="J69" s="224"/>
      <c r="K69" s="223"/>
      <c r="L69" s="223"/>
      <c r="M69" s="224"/>
      <c r="N69" s="224"/>
      <c r="P69" s="142" t="str">
        <f t="shared" si="10"/>
        <v/>
      </c>
      <c r="Q69" s="142" t="str">
        <f t="shared" si="11"/>
        <v/>
      </c>
      <c r="U69" s="142">
        <v>3721</v>
      </c>
      <c r="V69" s="142" t="s">
        <v>84</v>
      </c>
      <c r="X69" s="142" t="str">
        <f t="shared" ref="X69:X129" si="12">LEFT(U69,2)</f>
        <v>37</v>
      </c>
      <c r="Y69" s="142" t="str">
        <f t="shared" si="6"/>
        <v>372</v>
      </c>
      <c r="AA69" s="142" t="s">
        <v>947</v>
      </c>
      <c r="AB69" s="142" t="s">
        <v>948</v>
      </c>
    </row>
    <row r="70" spans="1:28">
      <c r="A70" s="152"/>
      <c r="B70" s="147" t="str">
        <f t="shared" si="8"/>
        <v/>
      </c>
      <c r="C70" s="152"/>
      <c r="D70" s="147" t="str">
        <f t="shared" si="7"/>
        <v/>
      </c>
      <c r="E70" s="199"/>
      <c r="F70" s="147" t="str">
        <f t="shared" si="9"/>
        <v/>
      </c>
      <c r="G70" s="196"/>
      <c r="H70" s="196"/>
      <c r="I70" s="196"/>
      <c r="J70" s="224"/>
      <c r="K70" s="223"/>
      <c r="L70" s="223"/>
      <c r="M70" s="224"/>
      <c r="N70" s="224"/>
      <c r="P70" s="142" t="str">
        <f t="shared" si="10"/>
        <v/>
      </c>
      <c r="Q70" s="142" t="str">
        <f t="shared" si="11"/>
        <v/>
      </c>
      <c r="U70" s="142">
        <v>3722</v>
      </c>
      <c r="V70" s="142" t="s">
        <v>170</v>
      </c>
      <c r="X70" s="142" t="str">
        <f t="shared" si="12"/>
        <v>37</v>
      </c>
      <c r="Y70" s="142" t="str">
        <f t="shared" ref="Y70:Y129" si="13">LEFT(U70,3)</f>
        <v>372</v>
      </c>
      <c r="AA70" s="142" t="s">
        <v>949</v>
      </c>
      <c r="AB70" s="142" t="s">
        <v>950</v>
      </c>
    </row>
    <row r="71" spans="1:28">
      <c r="A71" s="152"/>
      <c r="B71" s="147" t="str">
        <f t="shared" si="8"/>
        <v/>
      </c>
      <c r="C71" s="152"/>
      <c r="D71" s="147" t="str">
        <f t="shared" si="7"/>
        <v/>
      </c>
      <c r="E71" s="199"/>
      <c r="F71" s="147" t="str">
        <f t="shared" si="9"/>
        <v/>
      </c>
      <c r="G71" s="196"/>
      <c r="H71" s="196"/>
      <c r="I71" s="196"/>
      <c r="J71" s="224"/>
      <c r="K71" s="223"/>
      <c r="L71" s="223"/>
      <c r="M71" s="224"/>
      <c r="N71" s="224"/>
      <c r="P71" s="142" t="str">
        <f t="shared" si="10"/>
        <v/>
      </c>
      <c r="Q71" s="142" t="str">
        <f t="shared" si="11"/>
        <v/>
      </c>
      <c r="U71" s="142">
        <v>3723</v>
      </c>
      <c r="V71" s="142" t="s">
        <v>124</v>
      </c>
      <c r="X71" s="142" t="str">
        <f t="shared" si="12"/>
        <v>37</v>
      </c>
      <c r="Y71" s="142" t="str">
        <f t="shared" si="13"/>
        <v>372</v>
      </c>
      <c r="AA71" s="142" t="s">
        <v>951</v>
      </c>
      <c r="AB71" s="142" t="s">
        <v>952</v>
      </c>
    </row>
    <row r="72" spans="1:28">
      <c r="A72" s="152"/>
      <c r="B72" s="147" t="str">
        <f t="shared" si="8"/>
        <v/>
      </c>
      <c r="C72" s="152"/>
      <c r="D72" s="147" t="str">
        <f t="shared" si="7"/>
        <v/>
      </c>
      <c r="E72" s="199"/>
      <c r="F72" s="147" t="str">
        <f t="shared" si="9"/>
        <v/>
      </c>
      <c r="G72" s="196"/>
      <c r="H72" s="196"/>
      <c r="I72" s="196"/>
      <c r="J72" s="224"/>
      <c r="K72" s="223"/>
      <c r="L72" s="223"/>
      <c r="M72" s="224"/>
      <c r="N72" s="224"/>
      <c r="P72" s="142" t="str">
        <f t="shared" si="10"/>
        <v/>
      </c>
      <c r="Q72" s="142" t="str">
        <f t="shared" si="11"/>
        <v/>
      </c>
      <c r="U72" s="142">
        <v>3811</v>
      </c>
      <c r="V72" s="142" t="s">
        <v>74</v>
      </c>
      <c r="X72" s="142" t="str">
        <f t="shared" si="12"/>
        <v>38</v>
      </c>
      <c r="Y72" s="142" t="str">
        <f t="shared" si="13"/>
        <v>381</v>
      </c>
      <c r="AA72" s="142" t="s">
        <v>953</v>
      </c>
      <c r="AB72" s="142" t="s">
        <v>954</v>
      </c>
    </row>
    <row r="73" spans="1:28">
      <c r="A73" s="152"/>
      <c r="B73" s="147" t="str">
        <f t="shared" si="8"/>
        <v/>
      </c>
      <c r="C73" s="152"/>
      <c r="D73" s="147" t="str">
        <f t="shared" si="7"/>
        <v/>
      </c>
      <c r="E73" s="199"/>
      <c r="F73" s="147" t="str">
        <f t="shared" si="9"/>
        <v/>
      </c>
      <c r="G73" s="196"/>
      <c r="H73" s="196"/>
      <c r="I73" s="196"/>
      <c r="J73" s="224"/>
      <c r="K73" s="223"/>
      <c r="L73" s="223"/>
      <c r="M73" s="224"/>
      <c r="N73" s="224"/>
      <c r="P73" s="142" t="str">
        <f t="shared" si="10"/>
        <v/>
      </c>
      <c r="Q73" s="142" t="str">
        <f t="shared" si="11"/>
        <v/>
      </c>
      <c r="U73" s="142">
        <v>3812</v>
      </c>
      <c r="V73" s="142" t="s">
        <v>171</v>
      </c>
      <c r="X73" s="142" t="str">
        <f t="shared" si="12"/>
        <v>38</v>
      </c>
      <c r="Y73" s="142" t="str">
        <f t="shared" si="13"/>
        <v>381</v>
      </c>
      <c r="AA73" s="142" t="s">
        <v>955</v>
      </c>
      <c r="AB73" s="142" t="s">
        <v>956</v>
      </c>
    </row>
    <row r="74" spans="1:28">
      <c r="A74" s="152"/>
      <c r="B74" s="147" t="str">
        <f t="shared" si="8"/>
        <v/>
      </c>
      <c r="C74" s="152"/>
      <c r="D74" s="147" t="str">
        <f t="shared" si="7"/>
        <v/>
      </c>
      <c r="E74" s="199"/>
      <c r="F74" s="147" t="str">
        <f t="shared" si="9"/>
        <v/>
      </c>
      <c r="G74" s="196"/>
      <c r="H74" s="196"/>
      <c r="I74" s="196"/>
      <c r="J74" s="224"/>
      <c r="K74" s="223"/>
      <c r="L74" s="223"/>
      <c r="M74" s="224"/>
      <c r="N74" s="224"/>
      <c r="P74" s="142" t="str">
        <f t="shared" si="10"/>
        <v/>
      </c>
      <c r="Q74" s="142" t="str">
        <f t="shared" si="11"/>
        <v/>
      </c>
      <c r="U74" s="142">
        <v>3813</v>
      </c>
      <c r="V74" s="142" t="s">
        <v>113</v>
      </c>
      <c r="X74" s="142" t="str">
        <f t="shared" si="12"/>
        <v>38</v>
      </c>
      <c r="Y74" s="142" t="str">
        <f t="shared" si="13"/>
        <v>381</v>
      </c>
      <c r="AA74" s="142" t="s">
        <v>957</v>
      </c>
      <c r="AB74" s="142" t="s">
        <v>958</v>
      </c>
    </row>
    <row r="75" spans="1:28">
      <c r="A75" s="152"/>
      <c r="B75" s="147" t="str">
        <f t="shared" si="8"/>
        <v/>
      </c>
      <c r="C75" s="152"/>
      <c r="D75" s="147" t="str">
        <f t="shared" si="7"/>
        <v/>
      </c>
      <c r="E75" s="199"/>
      <c r="F75" s="147" t="str">
        <f t="shared" si="9"/>
        <v/>
      </c>
      <c r="G75" s="196"/>
      <c r="H75" s="196"/>
      <c r="I75" s="196"/>
      <c r="J75" s="224"/>
      <c r="K75" s="223"/>
      <c r="L75" s="223"/>
      <c r="M75" s="224"/>
      <c r="N75" s="224"/>
      <c r="P75" s="142" t="str">
        <f t="shared" si="10"/>
        <v/>
      </c>
      <c r="Q75" s="142" t="str">
        <f t="shared" si="11"/>
        <v/>
      </c>
      <c r="U75" s="142">
        <v>3821</v>
      </c>
      <c r="V75" s="142" t="s">
        <v>189</v>
      </c>
      <c r="X75" s="142" t="str">
        <f t="shared" si="12"/>
        <v>38</v>
      </c>
      <c r="Y75" s="142" t="str">
        <f t="shared" si="13"/>
        <v>382</v>
      </c>
      <c r="AA75" s="142" t="s">
        <v>959</v>
      </c>
      <c r="AB75" s="142" t="s">
        <v>960</v>
      </c>
    </row>
    <row r="76" spans="1:28">
      <c r="A76" s="152"/>
      <c r="B76" s="147" t="str">
        <f t="shared" si="8"/>
        <v/>
      </c>
      <c r="C76" s="152"/>
      <c r="D76" s="147" t="str">
        <f t="shared" si="7"/>
        <v/>
      </c>
      <c r="E76" s="199"/>
      <c r="F76" s="147" t="str">
        <f t="shared" si="9"/>
        <v/>
      </c>
      <c r="G76" s="196"/>
      <c r="H76" s="196"/>
      <c r="I76" s="196"/>
      <c r="J76" s="224"/>
      <c r="K76" s="223"/>
      <c r="L76" s="223"/>
      <c r="M76" s="224"/>
      <c r="N76" s="224"/>
      <c r="P76" s="142" t="str">
        <f t="shared" si="10"/>
        <v/>
      </c>
      <c r="Q76" s="142" t="str">
        <f t="shared" si="11"/>
        <v/>
      </c>
      <c r="U76" s="142">
        <v>3831</v>
      </c>
      <c r="V76" s="142" t="s">
        <v>172</v>
      </c>
      <c r="X76" s="142" t="str">
        <f t="shared" si="12"/>
        <v>38</v>
      </c>
      <c r="Y76" s="142" t="str">
        <f t="shared" si="13"/>
        <v>383</v>
      </c>
      <c r="AA76" s="142" t="s">
        <v>961</v>
      </c>
      <c r="AB76" s="142" t="s">
        <v>962</v>
      </c>
    </row>
    <row r="77" spans="1:28">
      <c r="A77" s="152"/>
      <c r="B77" s="147" t="str">
        <f t="shared" si="8"/>
        <v/>
      </c>
      <c r="C77" s="152"/>
      <c r="D77" s="147" t="str">
        <f t="shared" si="7"/>
        <v/>
      </c>
      <c r="E77" s="199"/>
      <c r="F77" s="147" t="str">
        <f t="shared" si="9"/>
        <v/>
      </c>
      <c r="G77" s="196"/>
      <c r="H77" s="196"/>
      <c r="I77" s="196"/>
      <c r="J77" s="224"/>
      <c r="K77" s="223"/>
      <c r="L77" s="223"/>
      <c r="M77" s="224"/>
      <c r="N77" s="224"/>
      <c r="P77" s="142" t="str">
        <f t="shared" si="10"/>
        <v/>
      </c>
      <c r="Q77" s="142" t="str">
        <f t="shared" si="11"/>
        <v/>
      </c>
      <c r="U77" s="142">
        <v>3832</v>
      </c>
      <c r="V77" s="142" t="s">
        <v>212</v>
      </c>
      <c r="X77" s="142" t="str">
        <f t="shared" si="12"/>
        <v>38</v>
      </c>
      <c r="Y77" s="142" t="str">
        <f t="shared" si="13"/>
        <v>383</v>
      </c>
      <c r="AA77" s="142" t="s">
        <v>963</v>
      </c>
      <c r="AB77" s="142" t="s">
        <v>964</v>
      </c>
    </row>
    <row r="78" spans="1:28">
      <c r="A78" s="152"/>
      <c r="B78" s="147" t="str">
        <f t="shared" si="8"/>
        <v/>
      </c>
      <c r="C78" s="152"/>
      <c r="D78" s="147" t="str">
        <f t="shared" si="7"/>
        <v/>
      </c>
      <c r="E78" s="199"/>
      <c r="F78" s="147" t="str">
        <f t="shared" si="9"/>
        <v/>
      </c>
      <c r="G78" s="196"/>
      <c r="H78" s="196"/>
      <c r="I78" s="196"/>
      <c r="J78" s="224"/>
      <c r="K78" s="223"/>
      <c r="L78" s="223"/>
      <c r="M78" s="224"/>
      <c r="N78" s="224"/>
      <c r="P78" s="142" t="str">
        <f t="shared" si="10"/>
        <v/>
      </c>
      <c r="Q78" s="142" t="str">
        <f t="shared" si="11"/>
        <v/>
      </c>
      <c r="U78" s="142">
        <v>3833</v>
      </c>
      <c r="V78" s="142" t="s">
        <v>173</v>
      </c>
      <c r="X78" s="142" t="str">
        <f t="shared" si="12"/>
        <v>38</v>
      </c>
      <c r="Y78" s="142" t="str">
        <f t="shared" si="13"/>
        <v>383</v>
      </c>
      <c r="AA78" s="142" t="s">
        <v>965</v>
      </c>
      <c r="AB78" s="142" t="s">
        <v>966</v>
      </c>
    </row>
    <row r="79" spans="1:28">
      <c r="A79" s="152"/>
      <c r="B79" s="147" t="str">
        <f t="shared" si="8"/>
        <v/>
      </c>
      <c r="C79" s="152"/>
      <c r="D79" s="147" t="str">
        <f t="shared" si="7"/>
        <v/>
      </c>
      <c r="E79" s="199"/>
      <c r="F79" s="147" t="str">
        <f t="shared" si="9"/>
        <v/>
      </c>
      <c r="G79" s="196"/>
      <c r="H79" s="196"/>
      <c r="I79" s="196"/>
      <c r="J79" s="224"/>
      <c r="K79" s="223"/>
      <c r="L79" s="223"/>
      <c r="M79" s="224"/>
      <c r="N79" s="224"/>
      <c r="P79" s="142" t="str">
        <f t="shared" si="10"/>
        <v/>
      </c>
      <c r="Q79" s="142" t="str">
        <f t="shared" si="11"/>
        <v/>
      </c>
      <c r="U79" s="142">
        <v>3834</v>
      </c>
      <c r="V79" s="142" t="s">
        <v>174</v>
      </c>
      <c r="X79" s="142" t="str">
        <f t="shared" si="12"/>
        <v>38</v>
      </c>
      <c r="Y79" s="142" t="str">
        <f t="shared" si="13"/>
        <v>383</v>
      </c>
      <c r="AA79" s="142" t="s">
        <v>967</v>
      </c>
      <c r="AB79" s="142" t="s">
        <v>968</v>
      </c>
    </row>
    <row r="80" spans="1:28">
      <c r="A80" s="152"/>
      <c r="B80" s="147" t="str">
        <f t="shared" si="8"/>
        <v/>
      </c>
      <c r="C80" s="152"/>
      <c r="D80" s="147" t="str">
        <f t="shared" si="7"/>
        <v/>
      </c>
      <c r="E80" s="199"/>
      <c r="F80" s="147" t="str">
        <f t="shared" si="9"/>
        <v/>
      </c>
      <c r="G80" s="196"/>
      <c r="H80" s="196"/>
      <c r="I80" s="196"/>
      <c r="J80" s="224"/>
      <c r="K80" s="223"/>
      <c r="L80" s="223"/>
      <c r="M80" s="224"/>
      <c r="N80" s="224"/>
      <c r="P80" s="142" t="str">
        <f t="shared" si="10"/>
        <v/>
      </c>
      <c r="Q80" s="142" t="str">
        <f t="shared" si="11"/>
        <v/>
      </c>
      <c r="U80" s="142">
        <v>3835</v>
      </c>
      <c r="V80" s="142" t="s">
        <v>175</v>
      </c>
      <c r="X80" s="142" t="str">
        <f t="shared" si="12"/>
        <v>38</v>
      </c>
      <c r="Y80" s="142" t="str">
        <f t="shared" si="13"/>
        <v>383</v>
      </c>
      <c r="AA80" s="142" t="s">
        <v>969</v>
      </c>
      <c r="AB80" s="142" t="s">
        <v>970</v>
      </c>
    </row>
    <row r="81" spans="1:28">
      <c r="A81" s="152"/>
      <c r="B81" s="147" t="str">
        <f t="shared" si="8"/>
        <v/>
      </c>
      <c r="C81" s="152"/>
      <c r="D81" s="147" t="str">
        <f t="shared" si="7"/>
        <v/>
      </c>
      <c r="E81" s="199"/>
      <c r="F81" s="147" t="str">
        <f t="shared" si="9"/>
        <v/>
      </c>
      <c r="G81" s="196"/>
      <c r="H81" s="196"/>
      <c r="I81" s="196"/>
      <c r="J81" s="224"/>
      <c r="K81" s="223"/>
      <c r="L81" s="223"/>
      <c r="M81" s="224"/>
      <c r="N81" s="224"/>
      <c r="P81" s="142" t="str">
        <f t="shared" si="10"/>
        <v/>
      </c>
      <c r="Q81" s="142" t="str">
        <f t="shared" si="11"/>
        <v/>
      </c>
      <c r="U81" s="212">
        <v>3861</v>
      </c>
      <c r="V81" s="213" t="s">
        <v>849</v>
      </c>
      <c r="W81" s="212"/>
      <c r="X81" s="212" t="str">
        <f t="shared" si="12"/>
        <v>38</v>
      </c>
      <c r="Y81" s="212" t="str">
        <f t="shared" si="13"/>
        <v>386</v>
      </c>
      <c r="AA81" s="142" t="s">
        <v>971</v>
      </c>
      <c r="AB81" s="142" t="s">
        <v>972</v>
      </c>
    </row>
    <row r="82" spans="1:28">
      <c r="A82" s="152"/>
      <c r="B82" s="147" t="str">
        <f t="shared" si="8"/>
        <v/>
      </c>
      <c r="C82" s="152"/>
      <c r="D82" s="147" t="str">
        <f t="shared" si="7"/>
        <v/>
      </c>
      <c r="E82" s="199"/>
      <c r="F82" s="147" t="str">
        <f t="shared" si="9"/>
        <v/>
      </c>
      <c r="G82" s="196"/>
      <c r="H82" s="196"/>
      <c r="I82" s="196"/>
      <c r="J82" s="224"/>
      <c r="K82" s="223"/>
      <c r="L82" s="223"/>
      <c r="M82" s="224"/>
      <c r="N82" s="224"/>
      <c r="P82" s="142" t="str">
        <f t="shared" si="10"/>
        <v/>
      </c>
      <c r="Q82" s="142" t="str">
        <f t="shared" si="11"/>
        <v/>
      </c>
      <c r="U82" s="211">
        <v>3862</v>
      </c>
      <c r="V82" s="142" t="s">
        <v>850</v>
      </c>
      <c r="X82" s="142" t="str">
        <f t="shared" si="12"/>
        <v>38</v>
      </c>
      <c r="Y82" s="142" t="str">
        <f t="shared" si="13"/>
        <v>386</v>
      </c>
      <c r="AA82" s="142" t="s">
        <v>973</v>
      </c>
      <c r="AB82" s="142" t="s">
        <v>974</v>
      </c>
    </row>
    <row r="83" spans="1:28">
      <c r="A83" s="152"/>
      <c r="B83" s="147" t="str">
        <f t="shared" si="8"/>
        <v/>
      </c>
      <c r="C83" s="152"/>
      <c r="D83" s="147" t="str">
        <f t="shared" si="7"/>
        <v/>
      </c>
      <c r="E83" s="199"/>
      <c r="F83" s="147" t="str">
        <f t="shared" si="9"/>
        <v/>
      </c>
      <c r="G83" s="196"/>
      <c r="H83" s="196"/>
      <c r="I83" s="196"/>
      <c r="J83" s="224"/>
      <c r="K83" s="223"/>
      <c r="L83" s="223"/>
      <c r="M83" s="224"/>
      <c r="N83" s="224"/>
      <c r="P83" s="142" t="str">
        <f t="shared" si="10"/>
        <v/>
      </c>
      <c r="Q83" s="142" t="str">
        <f t="shared" si="11"/>
        <v/>
      </c>
      <c r="U83" s="211">
        <v>3863</v>
      </c>
      <c r="V83" s="142" t="s">
        <v>851</v>
      </c>
      <c r="X83" s="142" t="str">
        <f t="shared" si="12"/>
        <v>38</v>
      </c>
      <c r="Y83" s="142" t="str">
        <f t="shared" si="13"/>
        <v>386</v>
      </c>
      <c r="AA83" s="142" t="s">
        <v>975</v>
      </c>
      <c r="AB83" s="142" t="s">
        <v>976</v>
      </c>
    </row>
    <row r="84" spans="1:28">
      <c r="A84" s="152"/>
      <c r="B84" s="147" t="str">
        <f t="shared" si="8"/>
        <v/>
      </c>
      <c r="C84" s="152"/>
      <c r="D84" s="147" t="str">
        <f t="shared" si="7"/>
        <v/>
      </c>
      <c r="E84" s="199"/>
      <c r="F84" s="147" t="str">
        <f t="shared" si="9"/>
        <v/>
      </c>
      <c r="G84" s="196"/>
      <c r="H84" s="196"/>
      <c r="I84" s="196"/>
      <c r="J84" s="224"/>
      <c r="K84" s="223"/>
      <c r="L84" s="223"/>
      <c r="M84" s="224"/>
      <c r="N84" s="224"/>
      <c r="P84" s="142" t="str">
        <f t="shared" si="10"/>
        <v/>
      </c>
      <c r="Q84" s="142" t="str">
        <f t="shared" si="11"/>
        <v/>
      </c>
      <c r="U84" s="142">
        <v>4111</v>
      </c>
      <c r="V84" s="142" t="s">
        <v>176</v>
      </c>
      <c r="X84" s="142" t="str">
        <f t="shared" si="12"/>
        <v>41</v>
      </c>
      <c r="Y84" s="142" t="str">
        <f t="shared" si="13"/>
        <v>411</v>
      </c>
      <c r="AA84" s="142" t="s">
        <v>977</v>
      </c>
      <c r="AB84" s="142" t="s">
        <v>978</v>
      </c>
    </row>
    <row r="85" spans="1:28">
      <c r="A85" s="152"/>
      <c r="B85" s="147" t="str">
        <f t="shared" si="8"/>
        <v/>
      </c>
      <c r="C85" s="152"/>
      <c r="D85" s="147" t="str">
        <f t="shared" si="7"/>
        <v/>
      </c>
      <c r="E85" s="199"/>
      <c r="F85" s="147" t="str">
        <f t="shared" si="9"/>
        <v/>
      </c>
      <c r="G85" s="196"/>
      <c r="H85" s="196"/>
      <c r="I85" s="196"/>
      <c r="J85" s="224"/>
      <c r="K85" s="223"/>
      <c r="L85" s="223"/>
      <c r="M85" s="224"/>
      <c r="N85" s="224"/>
      <c r="P85" s="142" t="str">
        <f t="shared" si="10"/>
        <v/>
      </c>
      <c r="Q85" s="142" t="str">
        <f t="shared" si="11"/>
        <v/>
      </c>
      <c r="U85" s="142">
        <v>4113</v>
      </c>
      <c r="V85" s="142" t="s">
        <v>210</v>
      </c>
      <c r="X85" s="142" t="str">
        <f t="shared" si="12"/>
        <v>41</v>
      </c>
      <c r="Y85" s="142" t="str">
        <f t="shared" si="13"/>
        <v>411</v>
      </c>
      <c r="AA85" s="142" t="s">
        <v>979</v>
      </c>
      <c r="AB85" s="142" t="s">
        <v>980</v>
      </c>
    </row>
    <row r="86" spans="1:28">
      <c r="A86" s="152"/>
      <c r="B86" s="147" t="str">
        <f t="shared" si="8"/>
        <v/>
      </c>
      <c r="C86" s="152"/>
      <c r="D86" s="147" t="str">
        <f t="shared" si="7"/>
        <v/>
      </c>
      <c r="E86" s="199"/>
      <c r="F86" s="147" t="str">
        <f t="shared" si="9"/>
        <v/>
      </c>
      <c r="G86" s="196"/>
      <c r="H86" s="196"/>
      <c r="I86" s="196"/>
      <c r="J86" s="224"/>
      <c r="K86" s="223"/>
      <c r="L86" s="223"/>
      <c r="M86" s="224"/>
      <c r="N86" s="224"/>
      <c r="P86" s="142" t="str">
        <f t="shared" si="10"/>
        <v/>
      </c>
      <c r="Q86" s="142" t="str">
        <f t="shared" si="11"/>
        <v/>
      </c>
      <c r="U86" s="142">
        <v>4122</v>
      </c>
      <c r="V86" s="142" t="s">
        <v>177</v>
      </c>
      <c r="X86" s="142" t="str">
        <f t="shared" si="12"/>
        <v>41</v>
      </c>
      <c r="Y86" s="142" t="str">
        <f t="shared" si="13"/>
        <v>412</v>
      </c>
      <c r="AA86" s="142" t="s">
        <v>981</v>
      </c>
      <c r="AB86" s="142" t="s">
        <v>982</v>
      </c>
    </row>
    <row r="87" spans="1:28">
      <c r="A87" s="152"/>
      <c r="B87" s="147" t="str">
        <f t="shared" si="8"/>
        <v/>
      </c>
      <c r="C87" s="152"/>
      <c r="D87" s="147" t="str">
        <f t="shared" si="7"/>
        <v/>
      </c>
      <c r="E87" s="199"/>
      <c r="F87" s="147" t="str">
        <f t="shared" si="9"/>
        <v/>
      </c>
      <c r="G87" s="196"/>
      <c r="H87" s="196"/>
      <c r="I87" s="196"/>
      <c r="J87" s="224"/>
      <c r="K87" s="223"/>
      <c r="L87" s="223"/>
      <c r="M87" s="224"/>
      <c r="N87" s="224"/>
      <c r="P87" s="142" t="str">
        <f t="shared" si="10"/>
        <v/>
      </c>
      <c r="Q87" s="142" t="str">
        <f t="shared" si="11"/>
        <v/>
      </c>
      <c r="U87" s="142">
        <v>4123</v>
      </c>
      <c r="V87" s="142" t="s">
        <v>148</v>
      </c>
      <c r="X87" s="142" t="str">
        <f t="shared" si="12"/>
        <v>41</v>
      </c>
      <c r="Y87" s="142" t="str">
        <f t="shared" si="13"/>
        <v>412</v>
      </c>
      <c r="AA87" s="142" t="s">
        <v>983</v>
      </c>
      <c r="AB87" s="142" t="s">
        <v>984</v>
      </c>
    </row>
    <row r="88" spans="1:28">
      <c r="A88" s="152"/>
      <c r="B88" s="147" t="str">
        <f t="shared" si="8"/>
        <v/>
      </c>
      <c r="C88" s="152"/>
      <c r="D88" s="147" t="str">
        <f t="shared" si="7"/>
        <v/>
      </c>
      <c r="E88" s="199"/>
      <c r="F88" s="147" t="str">
        <f t="shared" si="9"/>
        <v/>
      </c>
      <c r="G88" s="196"/>
      <c r="H88" s="196"/>
      <c r="I88" s="196"/>
      <c r="J88" s="224"/>
      <c r="K88" s="223"/>
      <c r="L88" s="223"/>
      <c r="M88" s="224"/>
      <c r="N88" s="224"/>
      <c r="P88" s="142" t="str">
        <f t="shared" si="10"/>
        <v/>
      </c>
      <c r="Q88" s="142" t="str">
        <f t="shared" si="11"/>
        <v/>
      </c>
      <c r="U88" s="142">
        <v>4124</v>
      </c>
      <c r="V88" s="142" t="s">
        <v>133</v>
      </c>
      <c r="X88" s="142" t="str">
        <f t="shared" si="12"/>
        <v>41</v>
      </c>
      <c r="Y88" s="142" t="str">
        <f t="shared" si="13"/>
        <v>412</v>
      </c>
      <c r="AA88" s="142" t="s">
        <v>985</v>
      </c>
      <c r="AB88" s="142" t="s">
        <v>986</v>
      </c>
    </row>
    <row r="89" spans="1:28">
      <c r="A89" s="152"/>
      <c r="B89" s="147" t="str">
        <f t="shared" si="8"/>
        <v/>
      </c>
      <c r="C89" s="152"/>
      <c r="D89" s="147" t="str">
        <f t="shared" si="7"/>
        <v/>
      </c>
      <c r="E89" s="199"/>
      <c r="F89" s="147" t="str">
        <f t="shared" si="9"/>
        <v/>
      </c>
      <c r="G89" s="196"/>
      <c r="H89" s="196"/>
      <c r="I89" s="196"/>
      <c r="J89" s="224"/>
      <c r="K89" s="223"/>
      <c r="L89" s="223"/>
      <c r="M89" s="224"/>
      <c r="N89" s="224"/>
      <c r="P89" s="142" t="str">
        <f t="shared" si="10"/>
        <v/>
      </c>
      <c r="Q89" s="142" t="str">
        <f t="shared" si="11"/>
        <v/>
      </c>
      <c r="U89" s="142">
        <v>4126</v>
      </c>
      <c r="V89" s="142" t="s">
        <v>178</v>
      </c>
      <c r="X89" s="142" t="str">
        <f t="shared" si="12"/>
        <v>41</v>
      </c>
      <c r="Y89" s="142" t="str">
        <f t="shared" si="13"/>
        <v>412</v>
      </c>
      <c r="AA89" s="142" t="s">
        <v>987</v>
      </c>
      <c r="AB89" s="142" t="s">
        <v>988</v>
      </c>
    </row>
    <row r="90" spans="1:28">
      <c r="A90" s="152"/>
      <c r="B90" s="147" t="str">
        <f t="shared" si="8"/>
        <v/>
      </c>
      <c r="C90" s="152"/>
      <c r="D90" s="147" t="str">
        <f t="shared" si="7"/>
        <v/>
      </c>
      <c r="E90" s="199"/>
      <c r="F90" s="147" t="str">
        <f t="shared" si="9"/>
        <v/>
      </c>
      <c r="G90" s="196"/>
      <c r="H90" s="196"/>
      <c r="I90" s="196"/>
      <c r="J90" s="224"/>
      <c r="K90" s="223"/>
      <c r="L90" s="223"/>
      <c r="M90" s="224"/>
      <c r="N90" s="224"/>
      <c r="P90" s="142" t="str">
        <f t="shared" si="10"/>
        <v/>
      </c>
      <c r="Q90" s="142" t="str">
        <f t="shared" si="11"/>
        <v/>
      </c>
      <c r="U90" s="142">
        <v>4211</v>
      </c>
      <c r="V90" s="142" t="s">
        <v>192</v>
      </c>
      <c r="X90" s="142" t="str">
        <f t="shared" si="12"/>
        <v>42</v>
      </c>
      <c r="Y90" s="142" t="str">
        <f t="shared" si="13"/>
        <v>421</v>
      </c>
      <c r="AA90" s="142" t="s">
        <v>989</v>
      </c>
      <c r="AB90" s="142" t="s">
        <v>990</v>
      </c>
    </row>
    <row r="91" spans="1:28">
      <c r="A91" s="152"/>
      <c r="B91" s="147" t="str">
        <f t="shared" si="8"/>
        <v/>
      </c>
      <c r="C91" s="152"/>
      <c r="D91" s="147" t="str">
        <f t="shared" si="7"/>
        <v/>
      </c>
      <c r="E91" s="199"/>
      <c r="F91" s="147" t="str">
        <f t="shared" si="9"/>
        <v/>
      </c>
      <c r="G91" s="196"/>
      <c r="H91" s="196"/>
      <c r="I91" s="196"/>
      <c r="J91" s="224"/>
      <c r="K91" s="223"/>
      <c r="L91" s="223"/>
      <c r="M91" s="224"/>
      <c r="N91" s="224"/>
      <c r="P91" s="142" t="str">
        <f t="shared" si="10"/>
        <v/>
      </c>
      <c r="Q91" s="142" t="str">
        <f t="shared" si="11"/>
        <v/>
      </c>
      <c r="U91" s="142">
        <v>4212</v>
      </c>
      <c r="V91" s="142" t="s">
        <v>79</v>
      </c>
      <c r="X91" s="142" t="str">
        <f t="shared" si="12"/>
        <v>42</v>
      </c>
      <c r="Y91" s="142" t="str">
        <f t="shared" si="13"/>
        <v>421</v>
      </c>
      <c r="AA91" s="142" t="s">
        <v>991</v>
      </c>
      <c r="AB91" s="142" t="s">
        <v>992</v>
      </c>
    </row>
    <row r="92" spans="1:28">
      <c r="A92" s="152"/>
      <c r="B92" s="147" t="str">
        <f t="shared" si="8"/>
        <v/>
      </c>
      <c r="C92" s="152"/>
      <c r="D92" s="147" t="str">
        <f t="shared" si="7"/>
        <v/>
      </c>
      <c r="E92" s="199"/>
      <c r="F92" s="147" t="str">
        <f t="shared" si="9"/>
        <v/>
      </c>
      <c r="G92" s="196"/>
      <c r="H92" s="196"/>
      <c r="I92" s="196"/>
      <c r="J92" s="224"/>
      <c r="K92" s="223"/>
      <c r="L92" s="223"/>
      <c r="M92" s="224"/>
      <c r="N92" s="224"/>
      <c r="P92" s="142" t="str">
        <f t="shared" si="10"/>
        <v/>
      </c>
      <c r="Q92" s="142" t="str">
        <f t="shared" si="11"/>
        <v/>
      </c>
      <c r="U92" s="142">
        <v>4213</v>
      </c>
      <c r="V92" s="142" t="s">
        <v>179</v>
      </c>
      <c r="X92" s="142" t="str">
        <f t="shared" si="12"/>
        <v>42</v>
      </c>
      <c r="Y92" s="142" t="str">
        <f t="shared" si="13"/>
        <v>421</v>
      </c>
      <c r="AA92" s="142" t="s">
        <v>154</v>
      </c>
      <c r="AB92" s="142" t="s">
        <v>873</v>
      </c>
    </row>
    <row r="93" spans="1:28">
      <c r="A93" s="152"/>
      <c r="B93" s="147" t="str">
        <f t="shared" si="8"/>
        <v/>
      </c>
      <c r="C93" s="152"/>
      <c r="D93" s="147" t="str">
        <f t="shared" si="7"/>
        <v/>
      </c>
      <c r="E93" s="199"/>
      <c r="F93" s="147" t="str">
        <f t="shared" si="9"/>
        <v/>
      </c>
      <c r="G93" s="196"/>
      <c r="H93" s="196"/>
      <c r="I93" s="196"/>
      <c r="J93" s="224"/>
      <c r="K93" s="223"/>
      <c r="L93" s="223"/>
      <c r="M93" s="224"/>
      <c r="N93" s="224"/>
      <c r="P93" s="142" t="str">
        <f t="shared" si="10"/>
        <v/>
      </c>
      <c r="Q93" s="142" t="str">
        <f t="shared" si="11"/>
        <v/>
      </c>
      <c r="U93" s="142">
        <v>4214</v>
      </c>
      <c r="V93" s="142" t="s">
        <v>180</v>
      </c>
      <c r="X93" s="142" t="str">
        <f t="shared" si="12"/>
        <v>42</v>
      </c>
      <c r="Y93" s="142" t="str">
        <f t="shared" si="13"/>
        <v>421</v>
      </c>
      <c r="AA93" s="142" t="s">
        <v>993</v>
      </c>
      <c r="AB93" s="142" t="s">
        <v>994</v>
      </c>
    </row>
    <row r="94" spans="1:28">
      <c r="A94" s="152"/>
      <c r="B94" s="147" t="str">
        <f t="shared" si="8"/>
        <v/>
      </c>
      <c r="C94" s="152"/>
      <c r="D94" s="147" t="str">
        <f t="shared" si="7"/>
        <v/>
      </c>
      <c r="E94" s="199"/>
      <c r="F94" s="147" t="str">
        <f t="shared" si="9"/>
        <v/>
      </c>
      <c r="G94" s="196"/>
      <c r="H94" s="196"/>
      <c r="I94" s="196"/>
      <c r="J94" s="224"/>
      <c r="K94" s="223"/>
      <c r="L94" s="223"/>
      <c r="M94" s="224"/>
      <c r="N94" s="224"/>
      <c r="P94" s="142" t="str">
        <f t="shared" si="10"/>
        <v/>
      </c>
      <c r="Q94" s="142" t="str">
        <f t="shared" si="11"/>
        <v/>
      </c>
      <c r="U94" s="142">
        <v>4221</v>
      </c>
      <c r="V94" s="142" t="s">
        <v>114</v>
      </c>
      <c r="X94" s="142" t="str">
        <f t="shared" si="12"/>
        <v>42</v>
      </c>
      <c r="Y94" s="142" t="str">
        <f t="shared" si="13"/>
        <v>422</v>
      </c>
      <c r="AA94" s="142" t="s">
        <v>995</v>
      </c>
      <c r="AB94" s="142" t="s">
        <v>996</v>
      </c>
    </row>
    <row r="95" spans="1:28">
      <c r="A95" s="152"/>
      <c r="B95" s="147" t="str">
        <f t="shared" si="8"/>
        <v/>
      </c>
      <c r="C95" s="152"/>
      <c r="D95" s="147" t="str">
        <f t="shared" si="7"/>
        <v/>
      </c>
      <c r="E95" s="199"/>
      <c r="F95" s="147" t="str">
        <f t="shared" si="9"/>
        <v/>
      </c>
      <c r="G95" s="196"/>
      <c r="H95" s="196"/>
      <c r="I95" s="196"/>
      <c r="J95" s="224"/>
      <c r="K95" s="223"/>
      <c r="L95" s="223"/>
      <c r="M95" s="224"/>
      <c r="N95" s="224"/>
      <c r="P95" s="142" t="str">
        <f t="shared" si="10"/>
        <v/>
      </c>
      <c r="Q95" s="142" t="str">
        <f t="shared" si="11"/>
        <v/>
      </c>
      <c r="U95" s="142">
        <v>4222</v>
      </c>
      <c r="V95" s="142" t="s">
        <v>125</v>
      </c>
      <c r="X95" s="142" t="str">
        <f t="shared" si="12"/>
        <v>42</v>
      </c>
      <c r="Y95" s="142" t="str">
        <f t="shared" si="13"/>
        <v>422</v>
      </c>
      <c r="AA95" s="142" t="s">
        <v>997</v>
      </c>
      <c r="AB95" s="142" t="s">
        <v>998</v>
      </c>
    </row>
    <row r="96" spans="1:28">
      <c r="A96" s="152"/>
      <c r="B96" s="147" t="str">
        <f t="shared" si="8"/>
        <v/>
      </c>
      <c r="C96" s="152"/>
      <c r="D96" s="147" t="str">
        <f t="shared" si="7"/>
        <v/>
      </c>
      <c r="E96" s="199"/>
      <c r="F96" s="147" t="str">
        <f t="shared" si="9"/>
        <v/>
      </c>
      <c r="G96" s="196"/>
      <c r="H96" s="196"/>
      <c r="I96" s="196"/>
      <c r="J96" s="224"/>
      <c r="K96" s="223"/>
      <c r="L96" s="223"/>
      <c r="M96" s="224"/>
      <c r="N96" s="224"/>
      <c r="P96" s="142" t="str">
        <f t="shared" si="10"/>
        <v/>
      </c>
      <c r="Q96" s="142" t="str">
        <f t="shared" si="11"/>
        <v/>
      </c>
      <c r="U96" s="142">
        <v>4223</v>
      </c>
      <c r="V96" s="142" t="s">
        <v>138</v>
      </c>
      <c r="X96" s="142" t="str">
        <f t="shared" si="12"/>
        <v>42</v>
      </c>
      <c r="Y96" s="142" t="str">
        <f t="shared" si="13"/>
        <v>422</v>
      </c>
      <c r="AA96" s="142" t="s">
        <v>999</v>
      </c>
      <c r="AB96" s="142" t="s">
        <v>1000</v>
      </c>
    </row>
    <row r="97" spans="1:28">
      <c r="A97" s="152"/>
      <c r="B97" s="147" t="str">
        <f t="shared" si="8"/>
        <v/>
      </c>
      <c r="C97" s="152"/>
      <c r="D97" s="147" t="str">
        <f t="shared" si="7"/>
        <v/>
      </c>
      <c r="E97" s="199"/>
      <c r="F97" s="147" t="str">
        <f t="shared" si="9"/>
        <v/>
      </c>
      <c r="G97" s="196"/>
      <c r="H97" s="196"/>
      <c r="I97" s="196"/>
      <c r="J97" s="224"/>
      <c r="K97" s="223"/>
      <c r="L97" s="223"/>
      <c r="M97" s="224"/>
      <c r="N97" s="224"/>
      <c r="P97" s="142" t="str">
        <f t="shared" si="10"/>
        <v/>
      </c>
      <c r="Q97" s="142" t="str">
        <f t="shared" si="11"/>
        <v/>
      </c>
      <c r="U97" s="142">
        <v>4224</v>
      </c>
      <c r="V97" s="142" t="s">
        <v>131</v>
      </c>
      <c r="X97" s="142" t="str">
        <f t="shared" si="12"/>
        <v>42</v>
      </c>
      <c r="Y97" s="142" t="str">
        <f t="shared" si="13"/>
        <v>422</v>
      </c>
      <c r="AA97" s="142" t="s">
        <v>1001</v>
      </c>
      <c r="AB97" s="142" t="s">
        <v>1002</v>
      </c>
    </row>
    <row r="98" spans="1:28">
      <c r="A98" s="152"/>
      <c r="B98" s="147" t="str">
        <f t="shared" si="8"/>
        <v/>
      </c>
      <c r="C98" s="152"/>
      <c r="D98" s="147" t="str">
        <f t="shared" si="7"/>
        <v/>
      </c>
      <c r="E98" s="199"/>
      <c r="F98" s="147" t="str">
        <f t="shared" si="9"/>
        <v/>
      </c>
      <c r="G98" s="196"/>
      <c r="H98" s="196"/>
      <c r="I98" s="196"/>
      <c r="J98" s="224"/>
      <c r="K98" s="223"/>
      <c r="L98" s="223"/>
      <c r="M98" s="224"/>
      <c r="N98" s="224"/>
      <c r="P98" s="142" t="str">
        <f t="shared" si="10"/>
        <v/>
      </c>
      <c r="Q98" s="142" t="str">
        <f t="shared" si="11"/>
        <v/>
      </c>
      <c r="U98" s="142">
        <v>4225</v>
      </c>
      <c r="V98" s="142" t="s">
        <v>135</v>
      </c>
      <c r="X98" s="142" t="str">
        <f t="shared" si="12"/>
        <v>42</v>
      </c>
      <c r="Y98" s="142" t="str">
        <f t="shared" si="13"/>
        <v>422</v>
      </c>
      <c r="AA98" s="142" t="s">
        <v>1003</v>
      </c>
      <c r="AB98" s="142" t="s">
        <v>1004</v>
      </c>
    </row>
    <row r="99" spans="1:28">
      <c r="A99" s="152"/>
      <c r="B99" s="147" t="str">
        <f t="shared" si="8"/>
        <v/>
      </c>
      <c r="C99" s="152"/>
      <c r="D99" s="147" t="str">
        <f t="shared" si="7"/>
        <v/>
      </c>
      <c r="E99" s="199"/>
      <c r="F99" s="147" t="str">
        <f t="shared" si="9"/>
        <v/>
      </c>
      <c r="G99" s="196"/>
      <c r="H99" s="196"/>
      <c r="I99" s="196"/>
      <c r="J99" s="224"/>
      <c r="K99" s="223"/>
      <c r="L99" s="223"/>
      <c r="M99" s="224"/>
      <c r="N99" s="224"/>
      <c r="P99" s="142" t="str">
        <f t="shared" si="10"/>
        <v/>
      </c>
      <c r="Q99" s="142" t="str">
        <f t="shared" si="11"/>
        <v/>
      </c>
      <c r="U99" s="142">
        <v>4226</v>
      </c>
      <c r="V99" s="142" t="s">
        <v>181</v>
      </c>
      <c r="X99" s="142" t="str">
        <f t="shared" si="12"/>
        <v>42</v>
      </c>
      <c r="Y99" s="142" t="str">
        <f t="shared" si="13"/>
        <v>422</v>
      </c>
      <c r="AA99" s="142" t="s">
        <v>1005</v>
      </c>
      <c r="AB99" s="142" t="s">
        <v>1006</v>
      </c>
    </row>
    <row r="100" spans="1:28">
      <c r="A100" s="152"/>
      <c r="B100" s="147" t="str">
        <f t="shared" si="8"/>
        <v/>
      </c>
      <c r="C100" s="152"/>
      <c r="D100" s="147" t="str">
        <f t="shared" si="7"/>
        <v/>
      </c>
      <c r="E100" s="199"/>
      <c r="F100" s="147" t="str">
        <f t="shared" si="9"/>
        <v/>
      </c>
      <c r="G100" s="196"/>
      <c r="H100" s="196"/>
      <c r="I100" s="196"/>
      <c r="J100" s="224"/>
      <c r="K100" s="223"/>
      <c r="L100" s="223"/>
      <c r="M100" s="224"/>
      <c r="N100" s="224"/>
      <c r="P100" s="142" t="str">
        <f t="shared" si="10"/>
        <v/>
      </c>
      <c r="Q100" s="142" t="str">
        <f t="shared" si="11"/>
        <v/>
      </c>
      <c r="U100" s="142">
        <v>4227</v>
      </c>
      <c r="V100" s="142" t="s">
        <v>149</v>
      </c>
      <c r="X100" s="142" t="str">
        <f t="shared" si="12"/>
        <v>42</v>
      </c>
      <c r="Y100" s="142" t="str">
        <f t="shared" si="13"/>
        <v>422</v>
      </c>
      <c r="AA100" s="142" t="s">
        <v>1007</v>
      </c>
      <c r="AB100" s="142" t="s">
        <v>1008</v>
      </c>
    </row>
    <row r="101" spans="1:28">
      <c r="A101" s="152"/>
      <c r="B101" s="147" t="str">
        <f t="shared" si="8"/>
        <v/>
      </c>
      <c r="C101" s="152"/>
      <c r="D101" s="147" t="str">
        <f t="shared" si="7"/>
        <v/>
      </c>
      <c r="E101" s="199"/>
      <c r="F101" s="147" t="str">
        <f t="shared" si="9"/>
        <v/>
      </c>
      <c r="G101" s="196"/>
      <c r="H101" s="196"/>
      <c r="I101" s="196"/>
      <c r="J101" s="224"/>
      <c r="K101" s="223"/>
      <c r="L101" s="223"/>
      <c r="M101" s="224"/>
      <c r="N101" s="224"/>
      <c r="P101" s="142" t="str">
        <f t="shared" si="10"/>
        <v/>
      </c>
      <c r="Q101" s="142" t="str">
        <f t="shared" si="11"/>
        <v/>
      </c>
      <c r="U101" s="142">
        <v>4231</v>
      </c>
      <c r="V101" s="142" t="s">
        <v>182</v>
      </c>
      <c r="X101" s="142" t="str">
        <f t="shared" si="12"/>
        <v>42</v>
      </c>
      <c r="Y101" s="142" t="str">
        <f t="shared" si="13"/>
        <v>423</v>
      </c>
      <c r="AA101" s="142" t="s">
        <v>1009</v>
      </c>
      <c r="AB101" s="142" t="s">
        <v>1010</v>
      </c>
    </row>
    <row r="102" spans="1:28">
      <c r="A102" s="152"/>
      <c r="B102" s="147" t="str">
        <f t="shared" si="8"/>
        <v/>
      </c>
      <c r="C102" s="152"/>
      <c r="D102" s="147" t="str">
        <f t="shared" si="7"/>
        <v/>
      </c>
      <c r="E102" s="199"/>
      <c r="F102" s="147" t="str">
        <f t="shared" si="9"/>
        <v/>
      </c>
      <c r="G102" s="196"/>
      <c r="H102" s="196"/>
      <c r="I102" s="196"/>
      <c r="J102" s="224"/>
      <c r="K102" s="223"/>
      <c r="L102" s="223"/>
      <c r="M102" s="224"/>
      <c r="N102" s="224"/>
      <c r="P102" s="142" t="str">
        <f t="shared" si="10"/>
        <v/>
      </c>
      <c r="Q102" s="142" t="str">
        <f t="shared" si="11"/>
        <v/>
      </c>
      <c r="U102" s="142">
        <v>4233</v>
      </c>
      <c r="V102" s="142" t="s">
        <v>190</v>
      </c>
      <c r="X102" s="142" t="str">
        <f t="shared" si="12"/>
        <v>42</v>
      </c>
      <c r="Y102" s="142" t="str">
        <f t="shared" si="13"/>
        <v>423</v>
      </c>
      <c r="AA102" s="142" t="s">
        <v>1011</v>
      </c>
      <c r="AB102" s="142" t="s">
        <v>1012</v>
      </c>
    </row>
    <row r="103" spans="1:28">
      <c r="A103" s="152"/>
      <c r="B103" s="147" t="str">
        <f t="shared" si="8"/>
        <v/>
      </c>
      <c r="C103" s="152"/>
      <c r="D103" s="147" t="str">
        <f t="shared" si="7"/>
        <v/>
      </c>
      <c r="E103" s="199"/>
      <c r="F103" s="147" t="str">
        <f t="shared" si="9"/>
        <v/>
      </c>
      <c r="G103" s="196"/>
      <c r="H103" s="196"/>
      <c r="I103" s="196"/>
      <c r="J103" s="224"/>
      <c r="K103" s="223"/>
      <c r="L103" s="223"/>
      <c r="M103" s="224"/>
      <c r="N103" s="224"/>
      <c r="P103" s="142" t="str">
        <f t="shared" si="10"/>
        <v/>
      </c>
      <c r="Q103" s="142" t="str">
        <f t="shared" si="11"/>
        <v/>
      </c>
      <c r="U103" s="142">
        <v>4241</v>
      </c>
      <c r="V103" s="142" t="s">
        <v>126</v>
      </c>
      <c r="X103" s="142" t="str">
        <f t="shared" si="12"/>
        <v>42</v>
      </c>
      <c r="Y103" s="142" t="str">
        <f t="shared" si="13"/>
        <v>424</v>
      </c>
      <c r="AA103" s="142" t="s">
        <v>1013</v>
      </c>
      <c r="AB103" s="142" t="s">
        <v>1014</v>
      </c>
    </row>
    <row r="104" spans="1:28">
      <c r="A104" s="152"/>
      <c r="B104" s="147" t="str">
        <f t="shared" si="8"/>
        <v/>
      </c>
      <c r="C104" s="152"/>
      <c r="D104" s="147" t="str">
        <f t="shared" si="7"/>
        <v/>
      </c>
      <c r="E104" s="199"/>
      <c r="F104" s="147" t="str">
        <f t="shared" si="9"/>
        <v/>
      </c>
      <c r="G104" s="196"/>
      <c r="H104" s="196"/>
      <c r="I104" s="196"/>
      <c r="J104" s="224"/>
      <c r="K104" s="223"/>
      <c r="L104" s="223"/>
      <c r="M104" s="224"/>
      <c r="N104" s="224"/>
      <c r="P104" s="142" t="str">
        <f t="shared" si="10"/>
        <v/>
      </c>
      <c r="Q104" s="142" t="str">
        <f t="shared" si="11"/>
        <v/>
      </c>
      <c r="U104" s="142">
        <v>4242</v>
      </c>
      <c r="V104" s="142" t="s">
        <v>159</v>
      </c>
      <c r="X104" s="142" t="str">
        <f t="shared" si="12"/>
        <v>42</v>
      </c>
      <c r="Y104" s="142" t="str">
        <f t="shared" si="13"/>
        <v>424</v>
      </c>
      <c r="AA104" s="142" t="s">
        <v>1015</v>
      </c>
      <c r="AB104" s="142" t="s">
        <v>1016</v>
      </c>
    </row>
    <row r="105" spans="1:28">
      <c r="A105" s="152"/>
      <c r="B105" s="147" t="str">
        <f t="shared" si="8"/>
        <v/>
      </c>
      <c r="C105" s="152"/>
      <c r="D105" s="147" t="str">
        <f t="shared" si="7"/>
        <v/>
      </c>
      <c r="E105" s="199"/>
      <c r="F105" s="147" t="str">
        <f t="shared" si="9"/>
        <v/>
      </c>
      <c r="G105" s="196"/>
      <c r="H105" s="196"/>
      <c r="I105" s="196"/>
      <c r="J105" s="224"/>
      <c r="K105" s="223"/>
      <c r="L105" s="223"/>
      <c r="M105" s="224"/>
      <c r="N105" s="224"/>
      <c r="P105" s="142" t="str">
        <f t="shared" si="10"/>
        <v/>
      </c>
      <c r="Q105" s="142" t="str">
        <f t="shared" si="11"/>
        <v/>
      </c>
      <c r="U105" s="142">
        <v>4244</v>
      </c>
      <c r="V105" s="142" t="s">
        <v>191</v>
      </c>
      <c r="X105" s="142" t="str">
        <f t="shared" si="12"/>
        <v>42</v>
      </c>
      <c r="Y105" s="142" t="str">
        <f t="shared" si="13"/>
        <v>424</v>
      </c>
      <c r="AA105" s="142" t="s">
        <v>1017</v>
      </c>
      <c r="AB105" s="142" t="s">
        <v>1018</v>
      </c>
    </row>
    <row r="106" spans="1:28">
      <c r="A106" s="152"/>
      <c r="B106" s="147" t="str">
        <f t="shared" si="8"/>
        <v/>
      </c>
      <c r="C106" s="152"/>
      <c r="D106" s="147" t="str">
        <f t="shared" si="7"/>
        <v/>
      </c>
      <c r="E106" s="199"/>
      <c r="F106" s="147" t="str">
        <f t="shared" si="9"/>
        <v/>
      </c>
      <c r="G106" s="196"/>
      <c r="H106" s="196"/>
      <c r="I106" s="196"/>
      <c r="J106" s="224"/>
      <c r="K106" s="223"/>
      <c r="L106" s="223"/>
      <c r="M106" s="224"/>
      <c r="N106" s="224"/>
      <c r="P106" s="142" t="str">
        <f t="shared" si="10"/>
        <v/>
      </c>
      <c r="Q106" s="142" t="str">
        <f t="shared" si="11"/>
        <v/>
      </c>
      <c r="U106" s="142">
        <v>4251</v>
      </c>
      <c r="V106" s="142" t="s">
        <v>183</v>
      </c>
      <c r="X106" s="142" t="str">
        <f t="shared" si="12"/>
        <v>42</v>
      </c>
      <c r="Y106" s="142" t="str">
        <f t="shared" si="13"/>
        <v>425</v>
      </c>
      <c r="AA106" s="142" t="s">
        <v>1019</v>
      </c>
      <c r="AB106" s="142" t="s">
        <v>1020</v>
      </c>
    </row>
    <row r="107" spans="1:28">
      <c r="A107" s="152"/>
      <c r="B107" s="147" t="str">
        <f t="shared" si="8"/>
        <v/>
      </c>
      <c r="C107" s="152"/>
      <c r="D107" s="147" t="str">
        <f t="shared" si="7"/>
        <v/>
      </c>
      <c r="E107" s="199"/>
      <c r="F107" s="147" t="str">
        <f t="shared" si="9"/>
        <v/>
      </c>
      <c r="G107" s="196"/>
      <c r="H107" s="196"/>
      <c r="I107" s="196"/>
      <c r="J107" s="224"/>
      <c r="K107" s="223"/>
      <c r="L107" s="223"/>
      <c r="M107" s="224"/>
      <c r="N107" s="224"/>
      <c r="P107" s="142" t="str">
        <f t="shared" si="10"/>
        <v/>
      </c>
      <c r="Q107" s="142" t="str">
        <f t="shared" si="11"/>
        <v/>
      </c>
      <c r="U107" s="142">
        <v>4252</v>
      </c>
      <c r="V107" s="142" t="s">
        <v>184</v>
      </c>
      <c r="X107" s="142" t="str">
        <f t="shared" si="12"/>
        <v>42</v>
      </c>
      <c r="Y107" s="142" t="str">
        <f t="shared" si="13"/>
        <v>425</v>
      </c>
      <c r="AA107" s="142" t="s">
        <v>1021</v>
      </c>
      <c r="AB107" s="142" t="s">
        <v>1022</v>
      </c>
    </row>
    <row r="108" spans="1:28">
      <c r="A108" s="152"/>
      <c r="B108" s="147" t="str">
        <f t="shared" si="8"/>
        <v/>
      </c>
      <c r="C108" s="152"/>
      <c r="D108" s="147" t="str">
        <f t="shared" si="7"/>
        <v/>
      </c>
      <c r="E108" s="199"/>
      <c r="F108" s="147" t="str">
        <f t="shared" si="9"/>
        <v/>
      </c>
      <c r="G108" s="196"/>
      <c r="H108" s="196"/>
      <c r="I108" s="196"/>
      <c r="J108" s="224"/>
      <c r="K108" s="223"/>
      <c r="L108" s="223"/>
      <c r="M108" s="224"/>
      <c r="N108" s="224"/>
      <c r="P108" s="142" t="str">
        <f t="shared" si="10"/>
        <v/>
      </c>
      <c r="Q108" s="142" t="str">
        <f t="shared" si="11"/>
        <v/>
      </c>
      <c r="U108" s="142">
        <v>4262</v>
      </c>
      <c r="V108" s="142" t="s">
        <v>127</v>
      </c>
      <c r="X108" s="142" t="str">
        <f t="shared" si="12"/>
        <v>42</v>
      </c>
      <c r="Y108" s="142" t="str">
        <f t="shared" si="13"/>
        <v>426</v>
      </c>
      <c r="AA108" s="142" t="s">
        <v>1023</v>
      </c>
      <c r="AB108" s="142" t="s">
        <v>1024</v>
      </c>
    </row>
    <row r="109" spans="1:28">
      <c r="A109" s="152"/>
      <c r="B109" s="147" t="str">
        <f t="shared" si="8"/>
        <v/>
      </c>
      <c r="C109" s="152"/>
      <c r="D109" s="147" t="str">
        <f t="shared" si="7"/>
        <v/>
      </c>
      <c r="E109" s="199"/>
      <c r="F109" s="147" t="str">
        <f t="shared" si="9"/>
        <v/>
      </c>
      <c r="G109" s="196"/>
      <c r="H109" s="196"/>
      <c r="I109" s="196"/>
      <c r="J109" s="224"/>
      <c r="K109" s="223"/>
      <c r="L109" s="223"/>
      <c r="M109" s="224"/>
      <c r="N109" s="224"/>
      <c r="P109" s="142" t="str">
        <f t="shared" si="10"/>
        <v/>
      </c>
      <c r="Q109" s="142" t="str">
        <f t="shared" si="11"/>
        <v/>
      </c>
      <c r="U109" s="142">
        <v>4263</v>
      </c>
      <c r="V109" s="142" t="s">
        <v>185</v>
      </c>
      <c r="X109" s="142" t="str">
        <f t="shared" si="12"/>
        <v>42</v>
      </c>
      <c r="Y109" s="142" t="str">
        <f t="shared" si="13"/>
        <v>426</v>
      </c>
      <c r="AA109" s="142" t="s">
        <v>1025</v>
      </c>
      <c r="AB109" s="142" t="s">
        <v>1026</v>
      </c>
    </row>
    <row r="110" spans="1:28">
      <c r="A110" s="152"/>
      <c r="B110" s="147" t="str">
        <f t="shared" si="8"/>
        <v/>
      </c>
      <c r="C110" s="152"/>
      <c r="D110" s="147" t="str">
        <f t="shared" si="7"/>
        <v/>
      </c>
      <c r="E110" s="199"/>
      <c r="F110" s="147" t="str">
        <f t="shared" si="9"/>
        <v/>
      </c>
      <c r="G110" s="196"/>
      <c r="H110" s="196"/>
      <c r="I110" s="196"/>
      <c r="J110" s="224"/>
      <c r="K110" s="223"/>
      <c r="L110" s="223"/>
      <c r="M110" s="224"/>
      <c r="N110" s="224"/>
      <c r="P110" s="142" t="str">
        <f t="shared" si="10"/>
        <v/>
      </c>
      <c r="Q110" s="142" t="str">
        <f t="shared" si="11"/>
        <v/>
      </c>
      <c r="U110" s="142">
        <v>4264</v>
      </c>
      <c r="V110" s="142" t="s">
        <v>139</v>
      </c>
      <c r="X110" s="142" t="str">
        <f t="shared" si="12"/>
        <v>42</v>
      </c>
      <c r="Y110" s="142" t="str">
        <f t="shared" si="13"/>
        <v>426</v>
      </c>
      <c r="AA110" s="142" t="s">
        <v>1027</v>
      </c>
      <c r="AB110" s="142" t="s">
        <v>1028</v>
      </c>
    </row>
    <row r="111" spans="1:28">
      <c r="A111" s="152"/>
      <c r="B111" s="147" t="str">
        <f t="shared" si="8"/>
        <v/>
      </c>
      <c r="C111" s="152"/>
      <c r="D111" s="147" t="str">
        <f t="shared" si="7"/>
        <v/>
      </c>
      <c r="E111" s="199"/>
      <c r="F111" s="147" t="str">
        <f t="shared" si="9"/>
        <v/>
      </c>
      <c r="G111" s="196"/>
      <c r="H111" s="196"/>
      <c r="I111" s="196"/>
      <c r="J111" s="224"/>
      <c r="K111" s="223"/>
      <c r="L111" s="223"/>
      <c r="M111" s="224"/>
      <c r="N111" s="224"/>
      <c r="P111" s="142" t="str">
        <f t="shared" si="10"/>
        <v/>
      </c>
      <c r="Q111" s="142" t="str">
        <f t="shared" si="11"/>
        <v/>
      </c>
      <c r="U111" s="142">
        <v>4312</v>
      </c>
      <c r="V111" s="142" t="s">
        <v>141</v>
      </c>
      <c r="X111" s="142" t="str">
        <f t="shared" si="12"/>
        <v>43</v>
      </c>
      <c r="Y111" s="142" t="str">
        <f t="shared" si="13"/>
        <v>431</v>
      </c>
      <c r="AA111" s="142" t="s">
        <v>1029</v>
      </c>
      <c r="AB111" s="142" t="s">
        <v>1030</v>
      </c>
    </row>
    <row r="112" spans="1:28">
      <c r="A112" s="152"/>
      <c r="B112" s="147" t="str">
        <f t="shared" si="8"/>
        <v/>
      </c>
      <c r="C112" s="152"/>
      <c r="D112" s="147" t="str">
        <f t="shared" si="7"/>
        <v/>
      </c>
      <c r="E112" s="199"/>
      <c r="F112" s="147" t="str">
        <f t="shared" si="9"/>
        <v/>
      </c>
      <c r="G112" s="196"/>
      <c r="H112" s="196"/>
      <c r="I112" s="196"/>
      <c r="J112" s="224"/>
      <c r="K112" s="223"/>
      <c r="L112" s="223"/>
      <c r="M112" s="224"/>
      <c r="N112" s="224"/>
      <c r="P112" s="142" t="str">
        <f t="shared" si="10"/>
        <v/>
      </c>
      <c r="Q112" s="142" t="str">
        <f t="shared" si="11"/>
        <v/>
      </c>
      <c r="U112" s="142">
        <v>4411</v>
      </c>
      <c r="V112" s="142" t="s">
        <v>186</v>
      </c>
      <c r="X112" s="142" t="str">
        <f t="shared" si="12"/>
        <v>44</v>
      </c>
      <c r="Y112" s="142" t="str">
        <f t="shared" si="13"/>
        <v>441</v>
      </c>
      <c r="AA112" s="142" t="s">
        <v>1031</v>
      </c>
      <c r="AB112" s="142" t="s">
        <v>1032</v>
      </c>
    </row>
    <row r="113" spans="1:28">
      <c r="A113" s="152"/>
      <c r="B113" s="147" t="str">
        <f t="shared" si="8"/>
        <v/>
      </c>
      <c r="C113" s="152"/>
      <c r="D113" s="147" t="str">
        <f t="shared" si="7"/>
        <v/>
      </c>
      <c r="E113" s="199"/>
      <c r="F113" s="147" t="str">
        <f t="shared" si="9"/>
        <v/>
      </c>
      <c r="G113" s="196"/>
      <c r="H113" s="196"/>
      <c r="I113" s="196"/>
      <c r="J113" s="224"/>
      <c r="K113" s="223"/>
      <c r="L113" s="223"/>
      <c r="M113" s="224"/>
      <c r="N113" s="224"/>
      <c r="P113" s="142" t="str">
        <f t="shared" si="10"/>
        <v/>
      </c>
      <c r="Q113" s="142" t="str">
        <f t="shared" si="11"/>
        <v/>
      </c>
      <c r="U113" s="142">
        <v>4511</v>
      </c>
      <c r="V113" s="142" t="s">
        <v>140</v>
      </c>
      <c r="X113" s="142" t="str">
        <f t="shared" si="12"/>
        <v>45</v>
      </c>
      <c r="Y113" s="142" t="str">
        <f t="shared" si="13"/>
        <v>451</v>
      </c>
      <c r="AA113" s="142" t="s">
        <v>1033</v>
      </c>
      <c r="AB113" s="142" t="s">
        <v>1034</v>
      </c>
    </row>
    <row r="114" spans="1:28">
      <c r="A114" s="152"/>
      <c r="B114" s="147" t="str">
        <f t="shared" si="8"/>
        <v/>
      </c>
      <c r="C114" s="152"/>
      <c r="D114" s="147" t="str">
        <f t="shared" si="7"/>
        <v/>
      </c>
      <c r="E114" s="199"/>
      <c r="F114" s="147" t="str">
        <f t="shared" si="9"/>
        <v/>
      </c>
      <c r="G114" s="196"/>
      <c r="H114" s="196"/>
      <c r="I114" s="196"/>
      <c r="J114" s="224"/>
      <c r="K114" s="223"/>
      <c r="L114" s="223"/>
      <c r="M114" s="224"/>
      <c r="N114" s="224"/>
      <c r="P114" s="142" t="str">
        <f t="shared" si="10"/>
        <v/>
      </c>
      <c r="Q114" s="142" t="str">
        <f t="shared" si="11"/>
        <v/>
      </c>
      <c r="U114" s="142">
        <v>4521</v>
      </c>
      <c r="V114" s="142" t="s">
        <v>160</v>
      </c>
      <c r="X114" s="142" t="str">
        <f t="shared" si="12"/>
        <v>45</v>
      </c>
      <c r="Y114" s="142" t="str">
        <f t="shared" si="13"/>
        <v>452</v>
      </c>
      <c r="AA114" s="142" t="s">
        <v>1035</v>
      </c>
      <c r="AB114" s="142" t="s">
        <v>1036</v>
      </c>
    </row>
    <row r="115" spans="1:28">
      <c r="A115" s="152"/>
      <c r="B115" s="147" t="str">
        <f t="shared" si="8"/>
        <v/>
      </c>
      <c r="C115" s="152"/>
      <c r="D115" s="147" t="str">
        <f t="shared" si="7"/>
        <v/>
      </c>
      <c r="E115" s="199"/>
      <c r="F115" s="147" t="str">
        <f t="shared" si="9"/>
        <v/>
      </c>
      <c r="G115" s="196"/>
      <c r="H115" s="196"/>
      <c r="I115" s="196"/>
      <c r="J115" s="224"/>
      <c r="K115" s="223"/>
      <c r="L115" s="223"/>
      <c r="M115" s="224"/>
      <c r="N115" s="224"/>
      <c r="P115" s="142" t="str">
        <f t="shared" si="10"/>
        <v/>
      </c>
      <c r="Q115" s="142" t="str">
        <f t="shared" si="11"/>
        <v/>
      </c>
      <c r="U115" s="142">
        <v>4531</v>
      </c>
      <c r="V115" s="142" t="s">
        <v>203</v>
      </c>
      <c r="X115" s="142" t="str">
        <f t="shared" si="12"/>
        <v>45</v>
      </c>
      <c r="Y115" s="142" t="str">
        <f t="shared" si="13"/>
        <v>453</v>
      </c>
      <c r="AA115" s="142" t="s">
        <v>1037</v>
      </c>
      <c r="AB115" s="142" t="s">
        <v>1038</v>
      </c>
    </row>
    <row r="116" spans="1:28">
      <c r="A116" s="152"/>
      <c r="B116" s="147" t="str">
        <f t="shared" si="8"/>
        <v/>
      </c>
      <c r="C116" s="152"/>
      <c r="D116" s="147" t="str">
        <f t="shared" si="7"/>
        <v/>
      </c>
      <c r="E116" s="199"/>
      <c r="F116" s="147" t="str">
        <f t="shared" si="9"/>
        <v/>
      </c>
      <c r="G116" s="196"/>
      <c r="H116" s="196"/>
      <c r="I116" s="196"/>
      <c r="J116" s="224"/>
      <c r="K116" s="223"/>
      <c r="L116" s="223"/>
      <c r="M116" s="224"/>
      <c r="N116" s="224"/>
      <c r="P116" s="142" t="str">
        <f t="shared" si="10"/>
        <v/>
      </c>
      <c r="Q116" s="142" t="str">
        <f t="shared" si="11"/>
        <v/>
      </c>
      <c r="U116" s="142">
        <v>4541</v>
      </c>
      <c r="V116" s="142" t="s">
        <v>155</v>
      </c>
      <c r="X116" s="142" t="str">
        <f t="shared" si="12"/>
        <v>45</v>
      </c>
      <c r="Y116" s="142" t="str">
        <f t="shared" si="13"/>
        <v>454</v>
      </c>
      <c r="AA116" s="142" t="s">
        <v>1039</v>
      </c>
      <c r="AB116" s="142" t="s">
        <v>1040</v>
      </c>
    </row>
    <row r="117" spans="1:28">
      <c r="A117" s="152"/>
      <c r="B117" s="147" t="str">
        <f t="shared" si="8"/>
        <v/>
      </c>
      <c r="C117" s="152"/>
      <c r="D117" s="147" t="str">
        <f t="shared" si="7"/>
        <v/>
      </c>
      <c r="E117" s="199"/>
      <c r="F117" s="147" t="str">
        <f t="shared" si="9"/>
        <v/>
      </c>
      <c r="G117" s="196"/>
      <c r="H117" s="196"/>
      <c r="I117" s="196"/>
      <c r="J117" s="224"/>
      <c r="K117" s="223"/>
      <c r="L117" s="223"/>
      <c r="M117" s="224"/>
      <c r="N117" s="224"/>
      <c r="P117" s="142" t="str">
        <f t="shared" si="10"/>
        <v/>
      </c>
      <c r="Q117" s="142" t="str">
        <f t="shared" si="11"/>
        <v/>
      </c>
      <c r="U117" s="142">
        <v>5121</v>
      </c>
      <c r="V117" s="142" t="s">
        <v>211</v>
      </c>
      <c r="X117" s="142" t="str">
        <f t="shared" si="12"/>
        <v>51</v>
      </c>
      <c r="Y117" s="142" t="str">
        <f t="shared" si="13"/>
        <v>512</v>
      </c>
      <c r="AA117" s="142" t="s">
        <v>1041</v>
      </c>
      <c r="AB117" s="142" t="s">
        <v>1042</v>
      </c>
    </row>
    <row r="118" spans="1:28">
      <c r="A118" s="152"/>
      <c r="B118" s="147" t="str">
        <f t="shared" si="8"/>
        <v/>
      </c>
      <c r="C118" s="152"/>
      <c r="D118" s="147" t="str">
        <f t="shared" si="7"/>
        <v/>
      </c>
      <c r="E118" s="199"/>
      <c r="F118" s="147" t="str">
        <f t="shared" si="9"/>
        <v/>
      </c>
      <c r="G118" s="196"/>
      <c r="H118" s="196"/>
      <c r="I118" s="196"/>
      <c r="J118" s="224"/>
      <c r="K118" s="223"/>
      <c r="L118" s="223"/>
      <c r="M118" s="224"/>
      <c r="N118" s="224"/>
      <c r="P118" s="142" t="str">
        <f t="shared" si="10"/>
        <v/>
      </c>
      <c r="Q118" s="142" t="str">
        <f t="shared" si="11"/>
        <v/>
      </c>
      <c r="U118" s="142">
        <v>5443</v>
      </c>
      <c r="V118" s="142" t="s">
        <v>187</v>
      </c>
      <c r="X118" s="142" t="str">
        <f t="shared" si="12"/>
        <v>54</v>
      </c>
      <c r="Y118" s="142" t="str">
        <f t="shared" si="13"/>
        <v>544</v>
      </c>
      <c r="AA118" s="142" t="s">
        <v>1043</v>
      </c>
      <c r="AB118" s="142" t="s">
        <v>1044</v>
      </c>
    </row>
    <row r="119" spans="1:28">
      <c r="A119" s="152"/>
      <c r="B119" s="147" t="str">
        <f t="shared" si="8"/>
        <v/>
      </c>
      <c r="C119" s="152"/>
      <c r="D119" s="147" t="str">
        <f t="shared" si="7"/>
        <v/>
      </c>
      <c r="E119" s="199"/>
      <c r="F119" s="147" t="str">
        <f t="shared" si="9"/>
        <v/>
      </c>
      <c r="G119" s="196"/>
      <c r="H119" s="196"/>
      <c r="I119" s="196"/>
      <c r="J119" s="224"/>
      <c r="K119" s="223"/>
      <c r="L119" s="223"/>
      <c r="M119" s="224"/>
      <c r="N119" s="224"/>
      <c r="P119" s="142" t="str">
        <f t="shared" si="10"/>
        <v/>
      </c>
      <c r="Q119" s="142" t="str">
        <f t="shared" si="11"/>
        <v/>
      </c>
      <c r="U119" s="142">
        <v>5121</v>
      </c>
      <c r="V119" s="142" t="s">
        <v>819</v>
      </c>
      <c r="X119" s="142" t="str">
        <f t="shared" si="12"/>
        <v>51</v>
      </c>
      <c r="Y119" s="142" t="str">
        <f t="shared" si="13"/>
        <v>512</v>
      </c>
      <c r="AA119" s="142" t="s">
        <v>1045</v>
      </c>
      <c r="AB119" s="142" t="s">
        <v>1046</v>
      </c>
    </row>
    <row r="120" spans="1:28">
      <c r="A120" s="152"/>
      <c r="B120" s="147" t="str">
        <f t="shared" si="8"/>
        <v/>
      </c>
      <c r="C120" s="152"/>
      <c r="D120" s="147" t="str">
        <f t="shared" si="7"/>
        <v/>
      </c>
      <c r="E120" s="199"/>
      <c r="F120" s="147" t="str">
        <f t="shared" si="9"/>
        <v/>
      </c>
      <c r="G120" s="196"/>
      <c r="H120" s="196"/>
      <c r="I120" s="196"/>
      <c r="J120" s="224"/>
      <c r="K120" s="223"/>
      <c r="L120" s="223"/>
      <c r="M120" s="224"/>
      <c r="N120" s="224"/>
      <c r="P120" s="142" t="str">
        <f t="shared" si="10"/>
        <v/>
      </c>
      <c r="Q120" s="142" t="str">
        <f t="shared" si="11"/>
        <v/>
      </c>
      <c r="U120" s="142">
        <v>5122</v>
      </c>
      <c r="V120" s="142" t="s">
        <v>820</v>
      </c>
      <c r="X120" s="142" t="str">
        <f t="shared" si="12"/>
        <v>51</v>
      </c>
      <c r="Y120" s="142" t="str">
        <f t="shared" si="13"/>
        <v>512</v>
      </c>
      <c r="AA120" s="142" t="s">
        <v>1047</v>
      </c>
      <c r="AB120" s="142" t="s">
        <v>1048</v>
      </c>
    </row>
    <row r="121" spans="1:28">
      <c r="A121" s="152"/>
      <c r="B121" s="147" t="str">
        <f t="shared" si="8"/>
        <v/>
      </c>
      <c r="C121" s="152"/>
      <c r="D121" s="147" t="str">
        <f t="shared" si="7"/>
        <v/>
      </c>
      <c r="E121" s="199"/>
      <c r="F121" s="147" t="str">
        <f t="shared" si="9"/>
        <v/>
      </c>
      <c r="G121" s="196"/>
      <c r="H121" s="196"/>
      <c r="I121" s="196"/>
      <c r="J121" s="224"/>
      <c r="K121" s="223"/>
      <c r="L121" s="223"/>
      <c r="M121" s="224"/>
      <c r="N121" s="224"/>
      <c r="P121" s="142" t="str">
        <f t="shared" si="10"/>
        <v/>
      </c>
      <c r="Q121" s="142" t="str">
        <f t="shared" si="11"/>
        <v/>
      </c>
      <c r="U121" s="142">
        <v>5141</v>
      </c>
      <c r="V121" s="142" t="s">
        <v>821</v>
      </c>
      <c r="X121" s="142" t="str">
        <f t="shared" si="12"/>
        <v>51</v>
      </c>
      <c r="Y121" s="142" t="str">
        <f t="shared" si="13"/>
        <v>514</v>
      </c>
      <c r="AA121" s="142" t="s">
        <v>1049</v>
      </c>
      <c r="AB121" s="142" t="s">
        <v>1048</v>
      </c>
    </row>
    <row r="122" spans="1:28">
      <c r="A122" s="152"/>
      <c r="B122" s="147" t="str">
        <f t="shared" si="8"/>
        <v/>
      </c>
      <c r="C122" s="152"/>
      <c r="D122" s="147" t="str">
        <f t="shared" si="7"/>
        <v/>
      </c>
      <c r="E122" s="199"/>
      <c r="F122" s="147" t="str">
        <f t="shared" si="9"/>
        <v/>
      </c>
      <c r="G122" s="196"/>
      <c r="H122" s="196"/>
      <c r="I122" s="196"/>
      <c r="J122" s="224"/>
      <c r="K122" s="223"/>
      <c r="L122" s="223"/>
      <c r="M122" s="224"/>
      <c r="N122" s="224"/>
      <c r="P122" s="142" t="str">
        <f t="shared" si="10"/>
        <v/>
      </c>
      <c r="Q122" s="142" t="str">
        <f t="shared" si="11"/>
        <v/>
      </c>
      <c r="U122" s="142">
        <v>5181</v>
      </c>
      <c r="V122" s="142" t="s">
        <v>822</v>
      </c>
      <c r="X122" s="142" t="str">
        <f t="shared" si="12"/>
        <v>51</v>
      </c>
      <c r="Y122" s="142" t="str">
        <f t="shared" si="13"/>
        <v>518</v>
      </c>
      <c r="AA122" s="142" t="s">
        <v>1050</v>
      </c>
      <c r="AB122" s="142" t="s">
        <v>1051</v>
      </c>
    </row>
    <row r="123" spans="1:28">
      <c r="A123" s="152"/>
      <c r="B123" s="147" t="str">
        <f t="shared" si="8"/>
        <v/>
      </c>
      <c r="C123" s="152"/>
      <c r="D123" s="147" t="str">
        <f t="shared" si="7"/>
        <v/>
      </c>
      <c r="E123" s="199"/>
      <c r="F123" s="147" t="str">
        <f t="shared" si="9"/>
        <v/>
      </c>
      <c r="G123" s="196"/>
      <c r="H123" s="196"/>
      <c r="I123" s="196"/>
      <c r="J123" s="224"/>
      <c r="K123" s="223"/>
      <c r="L123" s="223"/>
      <c r="M123" s="224"/>
      <c r="N123" s="224"/>
      <c r="P123" s="142" t="str">
        <f t="shared" si="10"/>
        <v/>
      </c>
      <c r="Q123" s="142" t="str">
        <f t="shared" si="11"/>
        <v/>
      </c>
      <c r="U123" s="142">
        <v>5183</v>
      </c>
      <c r="V123" s="142" t="s">
        <v>823</v>
      </c>
      <c r="X123" s="142" t="str">
        <f t="shared" si="12"/>
        <v>51</v>
      </c>
      <c r="Y123" s="142" t="str">
        <f t="shared" si="13"/>
        <v>518</v>
      </c>
      <c r="AA123" s="142" t="s">
        <v>1052</v>
      </c>
      <c r="AB123" s="142" t="s">
        <v>1053</v>
      </c>
    </row>
    <row r="124" spans="1:28">
      <c r="A124" s="152"/>
      <c r="B124" s="147" t="str">
        <f t="shared" si="8"/>
        <v/>
      </c>
      <c r="C124" s="152"/>
      <c r="D124" s="147" t="str">
        <f t="shared" si="7"/>
        <v/>
      </c>
      <c r="E124" s="199"/>
      <c r="F124" s="147" t="str">
        <f t="shared" si="9"/>
        <v/>
      </c>
      <c r="G124" s="196"/>
      <c r="H124" s="196"/>
      <c r="I124" s="196"/>
      <c r="J124" s="224"/>
      <c r="K124" s="223"/>
      <c r="L124" s="223"/>
      <c r="M124" s="224"/>
      <c r="N124" s="224"/>
      <c r="P124" s="142" t="str">
        <f t="shared" si="10"/>
        <v/>
      </c>
      <c r="Q124" s="142" t="str">
        <f t="shared" si="11"/>
        <v/>
      </c>
      <c r="U124" s="142">
        <v>5422</v>
      </c>
      <c r="V124" s="142" t="s">
        <v>824</v>
      </c>
      <c r="X124" s="142" t="str">
        <f t="shared" si="12"/>
        <v>54</v>
      </c>
      <c r="Y124" s="142" t="str">
        <f t="shared" si="13"/>
        <v>542</v>
      </c>
      <c r="AA124" s="142" t="s">
        <v>1054</v>
      </c>
      <c r="AB124" s="142" t="s">
        <v>1051</v>
      </c>
    </row>
    <row r="125" spans="1:28">
      <c r="A125" s="152"/>
      <c r="B125" s="147" t="str">
        <f t="shared" si="8"/>
        <v/>
      </c>
      <c r="C125" s="152"/>
      <c r="D125" s="147" t="str">
        <f t="shared" si="7"/>
        <v/>
      </c>
      <c r="E125" s="199"/>
      <c r="F125" s="147" t="str">
        <f t="shared" si="9"/>
        <v/>
      </c>
      <c r="G125" s="196"/>
      <c r="H125" s="196"/>
      <c r="I125" s="196"/>
      <c r="J125" s="224"/>
      <c r="K125" s="223"/>
      <c r="L125" s="223"/>
      <c r="M125" s="224"/>
      <c r="N125" s="224"/>
      <c r="P125" s="142" t="str">
        <f t="shared" si="10"/>
        <v/>
      </c>
      <c r="Q125" s="142" t="str">
        <f t="shared" si="11"/>
        <v/>
      </c>
      <c r="U125" s="142">
        <v>5431</v>
      </c>
      <c r="V125" s="142" t="s">
        <v>389</v>
      </c>
      <c r="X125" s="142" t="str">
        <f t="shared" si="12"/>
        <v>54</v>
      </c>
      <c r="Y125" s="142" t="str">
        <f t="shared" si="13"/>
        <v>543</v>
      </c>
      <c r="AA125" s="142" t="s">
        <v>1055</v>
      </c>
      <c r="AB125" s="142" t="s">
        <v>1056</v>
      </c>
    </row>
    <row r="126" spans="1:28">
      <c r="A126" s="152"/>
      <c r="B126" s="147" t="str">
        <f t="shared" si="8"/>
        <v/>
      </c>
      <c r="C126" s="152"/>
      <c r="D126" s="147" t="str">
        <f t="shared" si="7"/>
        <v/>
      </c>
      <c r="E126" s="199"/>
      <c r="F126" s="147" t="str">
        <f t="shared" si="9"/>
        <v/>
      </c>
      <c r="G126" s="196"/>
      <c r="H126" s="196"/>
      <c r="I126" s="196"/>
      <c r="J126" s="224"/>
      <c r="K126" s="223"/>
      <c r="L126" s="223"/>
      <c r="M126" s="224"/>
      <c r="N126" s="224"/>
      <c r="P126" s="142" t="str">
        <f t="shared" si="10"/>
        <v/>
      </c>
      <c r="Q126" s="142" t="str">
        <f t="shared" si="11"/>
        <v/>
      </c>
      <c r="U126" s="142">
        <v>5443</v>
      </c>
      <c r="V126" s="142" t="s">
        <v>825</v>
      </c>
      <c r="X126" s="142" t="str">
        <f t="shared" si="12"/>
        <v>54</v>
      </c>
      <c r="Y126" s="142" t="str">
        <f t="shared" si="13"/>
        <v>544</v>
      </c>
      <c r="AA126" s="142" t="s">
        <v>1057</v>
      </c>
      <c r="AB126" s="142" t="s">
        <v>1058</v>
      </c>
    </row>
    <row r="127" spans="1:28">
      <c r="A127" s="152"/>
      <c r="B127" s="147" t="str">
        <f t="shared" si="8"/>
        <v/>
      </c>
      <c r="C127" s="152"/>
      <c r="D127" s="147" t="str">
        <f t="shared" si="7"/>
        <v/>
      </c>
      <c r="E127" s="199"/>
      <c r="F127" s="147" t="str">
        <f t="shared" si="9"/>
        <v/>
      </c>
      <c r="G127" s="196"/>
      <c r="H127" s="196"/>
      <c r="I127" s="196"/>
      <c r="J127" s="224"/>
      <c r="K127" s="223"/>
      <c r="L127" s="223"/>
      <c r="M127" s="224"/>
      <c r="N127" s="224"/>
      <c r="P127" s="142" t="str">
        <f t="shared" si="10"/>
        <v/>
      </c>
      <c r="Q127" s="142" t="str">
        <f t="shared" si="11"/>
        <v/>
      </c>
      <c r="U127" s="142">
        <v>5445</v>
      </c>
      <c r="V127" s="142" t="s">
        <v>826</v>
      </c>
      <c r="X127" s="142" t="str">
        <f t="shared" si="12"/>
        <v>54</v>
      </c>
      <c r="Y127" s="142" t="str">
        <f t="shared" si="13"/>
        <v>544</v>
      </c>
      <c r="AA127" s="142" t="s">
        <v>1059</v>
      </c>
      <c r="AB127" s="142" t="s">
        <v>1060</v>
      </c>
    </row>
    <row r="128" spans="1:28">
      <c r="A128" s="152"/>
      <c r="B128" s="147" t="str">
        <f t="shared" si="8"/>
        <v/>
      </c>
      <c r="C128" s="152"/>
      <c r="D128" s="147" t="str">
        <f t="shared" si="7"/>
        <v/>
      </c>
      <c r="E128" s="199"/>
      <c r="F128" s="147" t="str">
        <f t="shared" si="9"/>
        <v/>
      </c>
      <c r="G128" s="196"/>
      <c r="H128" s="196"/>
      <c r="I128" s="196"/>
      <c r="J128" s="224"/>
      <c r="K128" s="223"/>
      <c r="L128" s="223"/>
      <c r="M128" s="224"/>
      <c r="N128" s="224"/>
      <c r="P128" s="142" t="str">
        <f t="shared" si="10"/>
        <v/>
      </c>
      <c r="Q128" s="142" t="str">
        <f t="shared" si="11"/>
        <v/>
      </c>
      <c r="U128" s="142">
        <v>5453</v>
      </c>
      <c r="V128" s="142" t="s">
        <v>827</v>
      </c>
      <c r="X128" s="142" t="str">
        <f t="shared" si="12"/>
        <v>54</v>
      </c>
      <c r="Y128" s="142" t="str">
        <f t="shared" si="13"/>
        <v>545</v>
      </c>
      <c r="AA128" s="142" t="s">
        <v>1061</v>
      </c>
      <c r="AB128" s="142" t="s">
        <v>1062</v>
      </c>
    </row>
    <row r="129" spans="1:28">
      <c r="A129" s="152"/>
      <c r="B129" s="147" t="str">
        <f t="shared" si="8"/>
        <v/>
      </c>
      <c r="C129" s="152"/>
      <c r="D129" s="147" t="str">
        <f t="shared" si="7"/>
        <v/>
      </c>
      <c r="E129" s="199"/>
      <c r="F129" s="147" t="str">
        <f t="shared" si="9"/>
        <v/>
      </c>
      <c r="G129" s="196"/>
      <c r="H129" s="196"/>
      <c r="I129" s="196"/>
      <c r="J129" s="224"/>
      <c r="K129" s="223"/>
      <c r="L129" s="223"/>
      <c r="M129" s="224"/>
      <c r="N129" s="224"/>
      <c r="P129" s="142" t="str">
        <f t="shared" si="10"/>
        <v/>
      </c>
      <c r="Q129" s="142" t="str">
        <f t="shared" si="11"/>
        <v/>
      </c>
      <c r="U129" s="142">
        <v>5472</v>
      </c>
      <c r="V129" s="142" t="s">
        <v>828</v>
      </c>
      <c r="X129" s="142" t="str">
        <f t="shared" si="12"/>
        <v>54</v>
      </c>
      <c r="Y129" s="142" t="str">
        <f t="shared" si="13"/>
        <v>547</v>
      </c>
      <c r="AA129" s="142" t="s">
        <v>1063</v>
      </c>
      <c r="AB129" s="142" t="s">
        <v>1064</v>
      </c>
    </row>
    <row r="130" spans="1:28">
      <c r="A130" s="152"/>
      <c r="B130" s="147" t="str">
        <f t="shared" si="8"/>
        <v/>
      </c>
      <c r="C130" s="152"/>
      <c r="D130" s="147" t="str">
        <f t="shared" si="7"/>
        <v/>
      </c>
      <c r="E130" s="199"/>
      <c r="F130" s="147" t="str">
        <f t="shared" si="9"/>
        <v/>
      </c>
      <c r="G130" s="196"/>
      <c r="H130" s="196"/>
      <c r="I130" s="196"/>
      <c r="J130" s="224"/>
      <c r="K130" s="223"/>
      <c r="L130" s="223"/>
      <c r="M130" s="224"/>
      <c r="N130" s="224"/>
      <c r="P130" s="142" t="str">
        <f t="shared" si="10"/>
        <v/>
      </c>
      <c r="Q130" s="142" t="str">
        <f t="shared" si="11"/>
        <v/>
      </c>
      <c r="AA130" s="142" t="s">
        <v>1065</v>
      </c>
      <c r="AB130" s="142" t="s">
        <v>1066</v>
      </c>
    </row>
    <row r="131" spans="1:28">
      <c r="A131" s="152"/>
      <c r="B131" s="147" t="str">
        <f t="shared" si="8"/>
        <v/>
      </c>
      <c r="C131" s="152"/>
      <c r="D131" s="147" t="str">
        <f t="shared" ref="D131:D194" si="14">IFERROR(VLOOKUP(C131,$U$5:$W$129,2,FALSE),"")</f>
        <v/>
      </c>
      <c r="E131" s="199"/>
      <c r="F131" s="147" t="str">
        <f t="shared" si="9"/>
        <v/>
      </c>
      <c r="G131" s="196"/>
      <c r="H131" s="196"/>
      <c r="I131" s="196"/>
      <c r="J131" s="224"/>
      <c r="K131" s="223"/>
      <c r="L131" s="223"/>
      <c r="M131" s="224"/>
      <c r="N131" s="224"/>
      <c r="P131" s="142" t="str">
        <f t="shared" si="10"/>
        <v/>
      </c>
      <c r="Q131" s="142" t="str">
        <f t="shared" si="11"/>
        <v/>
      </c>
      <c r="AA131" s="142" t="s">
        <v>1067</v>
      </c>
      <c r="AB131" s="142" t="s">
        <v>1068</v>
      </c>
    </row>
    <row r="132" spans="1:28">
      <c r="A132" s="152"/>
      <c r="B132" s="147" t="str">
        <f t="shared" ref="B132:B195" si="15">IFERROR(VLOOKUP(A132,$R$6:$S$22,2,FALSE),"")</f>
        <v/>
      </c>
      <c r="C132" s="152"/>
      <c r="D132" s="147" t="str">
        <f t="shared" si="14"/>
        <v/>
      </c>
      <c r="E132" s="199"/>
      <c r="F132" s="147" t="str">
        <f t="shared" ref="F132:F195" si="16">IFERROR(VLOOKUP(E132,$AA$6:$AB$239,2,FALSE),"")</f>
        <v/>
      </c>
      <c r="G132" s="196"/>
      <c r="H132" s="196"/>
      <c r="I132" s="196"/>
      <c r="J132" s="224"/>
      <c r="K132" s="223"/>
      <c r="L132" s="223"/>
      <c r="M132" s="224"/>
      <c r="N132" s="224"/>
      <c r="P132" s="142" t="str">
        <f t="shared" ref="P132:P195" si="17">LEFT(C132,3)</f>
        <v/>
      </c>
      <c r="Q132" s="142" t="str">
        <f t="shared" ref="Q132:Q195" si="18">LEFT(C132,2)</f>
        <v/>
      </c>
      <c r="AA132" s="142" t="s">
        <v>1069</v>
      </c>
      <c r="AB132" s="142" t="s">
        <v>1070</v>
      </c>
    </row>
    <row r="133" spans="1:28">
      <c r="A133" s="152"/>
      <c r="B133" s="147" t="str">
        <f t="shared" si="15"/>
        <v/>
      </c>
      <c r="C133" s="152"/>
      <c r="D133" s="147" t="str">
        <f t="shared" si="14"/>
        <v/>
      </c>
      <c r="E133" s="199"/>
      <c r="F133" s="147" t="str">
        <f t="shared" si="16"/>
        <v/>
      </c>
      <c r="G133" s="196"/>
      <c r="H133" s="196"/>
      <c r="I133" s="196"/>
      <c r="J133" s="224"/>
      <c r="K133" s="223"/>
      <c r="L133" s="223"/>
      <c r="M133" s="224"/>
      <c r="N133" s="224"/>
      <c r="P133" s="142" t="str">
        <f t="shared" si="17"/>
        <v/>
      </c>
      <c r="Q133" s="142" t="str">
        <f t="shared" si="18"/>
        <v/>
      </c>
      <c r="AA133" s="142" t="s">
        <v>1071</v>
      </c>
      <c r="AB133" s="142" t="s">
        <v>1072</v>
      </c>
    </row>
    <row r="134" spans="1:28">
      <c r="A134" s="152"/>
      <c r="B134" s="147" t="str">
        <f t="shared" si="15"/>
        <v/>
      </c>
      <c r="C134" s="152"/>
      <c r="D134" s="147" t="str">
        <f t="shared" si="14"/>
        <v/>
      </c>
      <c r="E134" s="199"/>
      <c r="F134" s="147" t="str">
        <f t="shared" si="16"/>
        <v/>
      </c>
      <c r="G134" s="196"/>
      <c r="H134" s="196"/>
      <c r="I134" s="196"/>
      <c r="J134" s="224"/>
      <c r="K134" s="223"/>
      <c r="L134" s="223"/>
      <c r="M134" s="224"/>
      <c r="N134" s="224"/>
      <c r="P134" s="142" t="str">
        <f t="shared" si="17"/>
        <v/>
      </c>
      <c r="Q134" s="142" t="str">
        <f t="shared" si="18"/>
        <v/>
      </c>
      <c r="AA134" s="142" t="s">
        <v>1073</v>
      </c>
      <c r="AB134" s="142" t="s">
        <v>1074</v>
      </c>
    </row>
    <row r="135" spans="1:28">
      <c r="A135" s="152"/>
      <c r="B135" s="147" t="str">
        <f t="shared" si="15"/>
        <v/>
      </c>
      <c r="C135" s="152"/>
      <c r="D135" s="147" t="str">
        <f t="shared" si="14"/>
        <v/>
      </c>
      <c r="E135" s="199"/>
      <c r="F135" s="147" t="str">
        <f t="shared" si="16"/>
        <v/>
      </c>
      <c r="G135" s="196"/>
      <c r="H135" s="196"/>
      <c r="I135" s="196"/>
      <c r="J135" s="224"/>
      <c r="K135" s="223"/>
      <c r="L135" s="223"/>
      <c r="M135" s="224"/>
      <c r="N135" s="224"/>
      <c r="P135" s="142" t="str">
        <f t="shared" si="17"/>
        <v/>
      </c>
      <c r="Q135" s="142" t="str">
        <f t="shared" si="18"/>
        <v/>
      </c>
      <c r="AA135" s="142" t="s">
        <v>1075</v>
      </c>
      <c r="AB135" s="142" t="s">
        <v>1076</v>
      </c>
    </row>
    <row r="136" spans="1:28">
      <c r="A136" s="152"/>
      <c r="B136" s="147" t="str">
        <f t="shared" si="15"/>
        <v/>
      </c>
      <c r="C136" s="152"/>
      <c r="D136" s="147" t="str">
        <f t="shared" si="14"/>
        <v/>
      </c>
      <c r="E136" s="199"/>
      <c r="F136" s="147" t="str">
        <f t="shared" si="16"/>
        <v/>
      </c>
      <c r="G136" s="196"/>
      <c r="H136" s="196"/>
      <c r="I136" s="196"/>
      <c r="J136" s="224"/>
      <c r="K136" s="223"/>
      <c r="L136" s="223"/>
      <c r="M136" s="224"/>
      <c r="N136" s="224"/>
      <c r="P136" s="142" t="str">
        <f t="shared" si="17"/>
        <v/>
      </c>
      <c r="Q136" s="142" t="str">
        <f t="shared" si="18"/>
        <v/>
      </c>
      <c r="AA136" s="142" t="s">
        <v>1077</v>
      </c>
      <c r="AB136" s="142" t="s">
        <v>1078</v>
      </c>
    </row>
    <row r="137" spans="1:28">
      <c r="A137" s="152"/>
      <c r="B137" s="147" t="str">
        <f t="shared" si="15"/>
        <v/>
      </c>
      <c r="C137" s="152"/>
      <c r="D137" s="147" t="str">
        <f t="shared" si="14"/>
        <v/>
      </c>
      <c r="E137" s="199"/>
      <c r="F137" s="147" t="str">
        <f t="shared" si="16"/>
        <v/>
      </c>
      <c r="G137" s="196"/>
      <c r="H137" s="196"/>
      <c r="I137" s="196"/>
      <c r="J137" s="224"/>
      <c r="K137" s="223"/>
      <c r="L137" s="223"/>
      <c r="M137" s="224"/>
      <c r="N137" s="224"/>
      <c r="P137" s="142" t="str">
        <f t="shared" si="17"/>
        <v/>
      </c>
      <c r="Q137" s="142" t="str">
        <f t="shared" si="18"/>
        <v/>
      </c>
      <c r="AA137" s="142" t="s">
        <v>1079</v>
      </c>
      <c r="AB137" s="142" t="s">
        <v>1080</v>
      </c>
    </row>
    <row r="138" spans="1:28">
      <c r="A138" s="152"/>
      <c r="B138" s="147" t="str">
        <f t="shared" si="15"/>
        <v/>
      </c>
      <c r="C138" s="152"/>
      <c r="D138" s="147" t="str">
        <f t="shared" si="14"/>
        <v/>
      </c>
      <c r="E138" s="199"/>
      <c r="F138" s="147" t="str">
        <f t="shared" si="16"/>
        <v/>
      </c>
      <c r="G138" s="196"/>
      <c r="H138" s="196"/>
      <c r="I138" s="196"/>
      <c r="J138" s="224"/>
      <c r="K138" s="223"/>
      <c r="L138" s="223"/>
      <c r="M138" s="224"/>
      <c r="N138" s="224"/>
      <c r="P138" s="142" t="str">
        <f t="shared" si="17"/>
        <v/>
      </c>
      <c r="Q138" s="142" t="str">
        <f t="shared" si="18"/>
        <v/>
      </c>
      <c r="AA138" s="142" t="s">
        <v>1081</v>
      </c>
      <c r="AB138" s="142" t="s">
        <v>1082</v>
      </c>
    </row>
    <row r="139" spans="1:28">
      <c r="A139" s="152"/>
      <c r="B139" s="147" t="str">
        <f t="shared" si="15"/>
        <v/>
      </c>
      <c r="C139" s="152"/>
      <c r="D139" s="147" t="str">
        <f t="shared" si="14"/>
        <v/>
      </c>
      <c r="E139" s="199"/>
      <c r="F139" s="147" t="str">
        <f t="shared" si="16"/>
        <v/>
      </c>
      <c r="G139" s="196"/>
      <c r="H139" s="196"/>
      <c r="I139" s="196"/>
      <c r="J139" s="224"/>
      <c r="K139" s="223"/>
      <c r="L139" s="223"/>
      <c r="M139" s="224"/>
      <c r="N139" s="224"/>
      <c r="P139" s="142" t="str">
        <f t="shared" si="17"/>
        <v/>
      </c>
      <c r="Q139" s="142" t="str">
        <f t="shared" si="18"/>
        <v/>
      </c>
      <c r="AA139" s="142" t="s">
        <v>1083</v>
      </c>
      <c r="AB139" s="142" t="s">
        <v>1084</v>
      </c>
    </row>
    <row r="140" spans="1:28">
      <c r="A140" s="152"/>
      <c r="B140" s="147" t="str">
        <f t="shared" si="15"/>
        <v/>
      </c>
      <c r="C140" s="152"/>
      <c r="D140" s="147" t="str">
        <f t="shared" si="14"/>
        <v/>
      </c>
      <c r="E140" s="199"/>
      <c r="F140" s="147" t="str">
        <f t="shared" si="16"/>
        <v/>
      </c>
      <c r="G140" s="196"/>
      <c r="H140" s="196"/>
      <c r="I140" s="196"/>
      <c r="J140" s="224"/>
      <c r="K140" s="223"/>
      <c r="L140" s="223"/>
      <c r="M140" s="224"/>
      <c r="N140" s="224"/>
      <c r="P140" s="142" t="str">
        <f t="shared" si="17"/>
        <v/>
      </c>
      <c r="Q140" s="142" t="str">
        <f t="shared" si="18"/>
        <v/>
      </c>
      <c r="AA140" s="142" t="s">
        <v>1085</v>
      </c>
      <c r="AB140" s="142" t="s">
        <v>1086</v>
      </c>
    </row>
    <row r="141" spans="1:28">
      <c r="A141" s="152"/>
      <c r="B141" s="147" t="str">
        <f t="shared" si="15"/>
        <v/>
      </c>
      <c r="C141" s="152"/>
      <c r="D141" s="147" t="str">
        <f t="shared" si="14"/>
        <v/>
      </c>
      <c r="E141" s="199"/>
      <c r="F141" s="147" t="str">
        <f t="shared" si="16"/>
        <v/>
      </c>
      <c r="G141" s="196"/>
      <c r="H141" s="196"/>
      <c r="I141" s="196"/>
      <c r="J141" s="224"/>
      <c r="K141" s="223"/>
      <c r="L141" s="223"/>
      <c r="M141" s="224"/>
      <c r="N141" s="224"/>
      <c r="P141" s="142" t="str">
        <f t="shared" si="17"/>
        <v/>
      </c>
      <c r="Q141" s="142" t="str">
        <f t="shared" si="18"/>
        <v/>
      </c>
      <c r="AA141" s="142" t="s">
        <v>1087</v>
      </c>
      <c r="AB141" s="142" t="s">
        <v>1088</v>
      </c>
    </row>
    <row r="142" spans="1:28">
      <c r="A142" s="152"/>
      <c r="B142" s="147" t="str">
        <f t="shared" si="15"/>
        <v/>
      </c>
      <c r="C142" s="152"/>
      <c r="D142" s="147" t="str">
        <f t="shared" si="14"/>
        <v/>
      </c>
      <c r="E142" s="199"/>
      <c r="F142" s="147" t="str">
        <f t="shared" si="16"/>
        <v/>
      </c>
      <c r="G142" s="196"/>
      <c r="H142" s="196"/>
      <c r="I142" s="196"/>
      <c r="J142" s="224"/>
      <c r="K142" s="223"/>
      <c r="L142" s="223"/>
      <c r="M142" s="224"/>
      <c r="N142" s="224"/>
      <c r="P142" s="142" t="str">
        <f t="shared" si="17"/>
        <v/>
      </c>
      <c r="Q142" s="142" t="str">
        <f t="shared" si="18"/>
        <v/>
      </c>
      <c r="AA142" s="142" t="s">
        <v>1089</v>
      </c>
      <c r="AB142" s="142" t="s">
        <v>1090</v>
      </c>
    </row>
    <row r="143" spans="1:28">
      <c r="A143" s="152"/>
      <c r="B143" s="147" t="str">
        <f t="shared" si="15"/>
        <v/>
      </c>
      <c r="C143" s="152"/>
      <c r="D143" s="147" t="str">
        <f t="shared" si="14"/>
        <v/>
      </c>
      <c r="E143" s="199"/>
      <c r="F143" s="147" t="str">
        <f t="shared" si="16"/>
        <v/>
      </c>
      <c r="G143" s="196"/>
      <c r="H143" s="196"/>
      <c r="I143" s="196"/>
      <c r="J143" s="224"/>
      <c r="K143" s="223"/>
      <c r="L143" s="223"/>
      <c r="M143" s="224"/>
      <c r="N143" s="224"/>
      <c r="P143" s="142" t="str">
        <f t="shared" si="17"/>
        <v/>
      </c>
      <c r="Q143" s="142" t="str">
        <f t="shared" si="18"/>
        <v/>
      </c>
      <c r="AA143" s="142" t="s">
        <v>1091</v>
      </c>
      <c r="AB143" s="142" t="s">
        <v>1092</v>
      </c>
    </row>
    <row r="144" spans="1:28">
      <c r="A144" s="152"/>
      <c r="B144" s="147" t="str">
        <f t="shared" si="15"/>
        <v/>
      </c>
      <c r="C144" s="152"/>
      <c r="D144" s="147" t="str">
        <f t="shared" si="14"/>
        <v/>
      </c>
      <c r="E144" s="199"/>
      <c r="F144" s="147" t="str">
        <f t="shared" si="16"/>
        <v/>
      </c>
      <c r="G144" s="196"/>
      <c r="H144" s="196"/>
      <c r="I144" s="196"/>
      <c r="J144" s="224"/>
      <c r="K144" s="223"/>
      <c r="L144" s="223"/>
      <c r="M144" s="224"/>
      <c r="N144" s="224"/>
      <c r="P144" s="142" t="str">
        <f t="shared" si="17"/>
        <v/>
      </c>
      <c r="Q144" s="142" t="str">
        <f t="shared" si="18"/>
        <v/>
      </c>
      <c r="AA144" s="142" t="s">
        <v>1093</v>
      </c>
      <c r="AB144" s="142" t="s">
        <v>1094</v>
      </c>
    </row>
    <row r="145" spans="1:28">
      <c r="A145" s="152"/>
      <c r="B145" s="147" t="str">
        <f t="shared" si="15"/>
        <v/>
      </c>
      <c r="C145" s="152"/>
      <c r="D145" s="147" t="str">
        <f t="shared" si="14"/>
        <v/>
      </c>
      <c r="E145" s="199"/>
      <c r="F145" s="147" t="str">
        <f t="shared" si="16"/>
        <v/>
      </c>
      <c r="G145" s="196"/>
      <c r="H145" s="196"/>
      <c r="I145" s="196"/>
      <c r="J145" s="224"/>
      <c r="K145" s="223"/>
      <c r="L145" s="223"/>
      <c r="M145" s="224"/>
      <c r="N145" s="224"/>
      <c r="P145" s="142" t="str">
        <f t="shared" si="17"/>
        <v/>
      </c>
      <c r="Q145" s="142" t="str">
        <f t="shared" si="18"/>
        <v/>
      </c>
      <c r="AA145" s="142" t="s">
        <v>1095</v>
      </c>
      <c r="AB145" s="142" t="s">
        <v>1096</v>
      </c>
    </row>
    <row r="146" spans="1:28">
      <c r="A146" s="152"/>
      <c r="B146" s="147" t="str">
        <f t="shared" si="15"/>
        <v/>
      </c>
      <c r="C146" s="152"/>
      <c r="D146" s="147" t="str">
        <f t="shared" si="14"/>
        <v/>
      </c>
      <c r="E146" s="199"/>
      <c r="F146" s="147" t="str">
        <f t="shared" si="16"/>
        <v/>
      </c>
      <c r="G146" s="196"/>
      <c r="H146" s="196"/>
      <c r="I146" s="196"/>
      <c r="J146" s="224"/>
      <c r="K146" s="223"/>
      <c r="L146" s="223"/>
      <c r="M146" s="224"/>
      <c r="N146" s="224"/>
      <c r="P146" s="142" t="str">
        <f t="shared" si="17"/>
        <v/>
      </c>
      <c r="Q146" s="142" t="str">
        <f t="shared" si="18"/>
        <v/>
      </c>
      <c r="AA146" s="142" t="s">
        <v>1097</v>
      </c>
      <c r="AB146" s="142" t="s">
        <v>1098</v>
      </c>
    </row>
    <row r="147" spans="1:28">
      <c r="A147" s="152"/>
      <c r="B147" s="147" t="str">
        <f t="shared" si="15"/>
        <v/>
      </c>
      <c r="C147" s="152"/>
      <c r="D147" s="147" t="str">
        <f t="shared" si="14"/>
        <v/>
      </c>
      <c r="E147" s="199"/>
      <c r="F147" s="147" t="str">
        <f t="shared" si="16"/>
        <v/>
      </c>
      <c r="G147" s="196"/>
      <c r="H147" s="196"/>
      <c r="I147" s="196"/>
      <c r="J147" s="224"/>
      <c r="K147" s="223"/>
      <c r="L147" s="223"/>
      <c r="M147" s="224"/>
      <c r="N147" s="224"/>
      <c r="P147" s="142" t="str">
        <f t="shared" si="17"/>
        <v/>
      </c>
      <c r="Q147" s="142" t="str">
        <f t="shared" si="18"/>
        <v/>
      </c>
      <c r="AA147" s="142" t="s">
        <v>1099</v>
      </c>
      <c r="AB147" s="142" t="s">
        <v>1100</v>
      </c>
    </row>
    <row r="148" spans="1:28">
      <c r="A148" s="152"/>
      <c r="B148" s="147" t="str">
        <f t="shared" si="15"/>
        <v/>
      </c>
      <c r="C148" s="152"/>
      <c r="D148" s="147" t="str">
        <f t="shared" si="14"/>
        <v/>
      </c>
      <c r="E148" s="199"/>
      <c r="F148" s="147" t="str">
        <f t="shared" si="16"/>
        <v/>
      </c>
      <c r="G148" s="196"/>
      <c r="H148" s="196"/>
      <c r="I148" s="196"/>
      <c r="J148" s="224"/>
      <c r="K148" s="223"/>
      <c r="L148" s="223"/>
      <c r="M148" s="224"/>
      <c r="N148" s="224"/>
      <c r="P148" s="142" t="str">
        <f t="shared" si="17"/>
        <v/>
      </c>
      <c r="Q148" s="142" t="str">
        <f t="shared" si="18"/>
        <v/>
      </c>
      <c r="AA148" s="142" t="s">
        <v>1101</v>
      </c>
      <c r="AB148" s="142" t="s">
        <v>1102</v>
      </c>
    </row>
    <row r="149" spans="1:28">
      <c r="A149" s="152"/>
      <c r="B149" s="147" t="str">
        <f t="shared" si="15"/>
        <v/>
      </c>
      <c r="C149" s="152"/>
      <c r="D149" s="147" t="str">
        <f t="shared" si="14"/>
        <v/>
      </c>
      <c r="E149" s="199"/>
      <c r="F149" s="147" t="str">
        <f t="shared" si="16"/>
        <v/>
      </c>
      <c r="G149" s="196"/>
      <c r="H149" s="196"/>
      <c r="I149" s="196"/>
      <c r="J149" s="224"/>
      <c r="K149" s="223"/>
      <c r="L149" s="223"/>
      <c r="M149" s="224"/>
      <c r="N149" s="224"/>
      <c r="P149" s="142" t="str">
        <f t="shared" si="17"/>
        <v/>
      </c>
      <c r="Q149" s="142" t="str">
        <f t="shared" si="18"/>
        <v/>
      </c>
      <c r="AA149" s="142" t="s">
        <v>1103</v>
      </c>
      <c r="AB149" s="142" t="s">
        <v>1104</v>
      </c>
    </row>
    <row r="150" spans="1:28">
      <c r="A150" s="152"/>
      <c r="B150" s="147" t="str">
        <f t="shared" si="15"/>
        <v/>
      </c>
      <c r="C150" s="152"/>
      <c r="D150" s="147" t="str">
        <f t="shared" si="14"/>
        <v/>
      </c>
      <c r="E150" s="199"/>
      <c r="F150" s="147" t="str">
        <f t="shared" si="16"/>
        <v/>
      </c>
      <c r="G150" s="196"/>
      <c r="H150" s="196"/>
      <c r="I150" s="196"/>
      <c r="J150" s="224"/>
      <c r="K150" s="223"/>
      <c r="L150" s="223"/>
      <c r="M150" s="224"/>
      <c r="N150" s="224"/>
      <c r="P150" s="142" t="str">
        <f t="shared" si="17"/>
        <v/>
      </c>
      <c r="Q150" s="142" t="str">
        <f t="shared" si="18"/>
        <v/>
      </c>
      <c r="AA150" s="142" t="s">
        <v>1105</v>
      </c>
      <c r="AB150" s="142" t="s">
        <v>1106</v>
      </c>
    </row>
    <row r="151" spans="1:28">
      <c r="A151" s="152"/>
      <c r="B151" s="147" t="str">
        <f t="shared" si="15"/>
        <v/>
      </c>
      <c r="C151" s="152"/>
      <c r="D151" s="147" t="str">
        <f t="shared" si="14"/>
        <v/>
      </c>
      <c r="E151" s="199"/>
      <c r="F151" s="147" t="str">
        <f t="shared" si="16"/>
        <v/>
      </c>
      <c r="G151" s="196"/>
      <c r="H151" s="196"/>
      <c r="I151" s="196"/>
      <c r="J151" s="224"/>
      <c r="K151" s="223"/>
      <c r="L151" s="223"/>
      <c r="M151" s="224"/>
      <c r="N151" s="224"/>
      <c r="P151" s="142" t="str">
        <f t="shared" si="17"/>
        <v/>
      </c>
      <c r="Q151" s="142" t="str">
        <f t="shared" si="18"/>
        <v/>
      </c>
      <c r="AA151" s="142" t="s">
        <v>1107</v>
      </c>
      <c r="AB151" s="142" t="s">
        <v>1108</v>
      </c>
    </row>
    <row r="152" spans="1:28">
      <c r="A152" s="152"/>
      <c r="B152" s="147" t="str">
        <f t="shared" si="15"/>
        <v/>
      </c>
      <c r="C152" s="152"/>
      <c r="D152" s="147" t="str">
        <f t="shared" si="14"/>
        <v/>
      </c>
      <c r="E152" s="199"/>
      <c r="F152" s="147" t="str">
        <f t="shared" si="16"/>
        <v/>
      </c>
      <c r="G152" s="196"/>
      <c r="H152" s="196"/>
      <c r="I152" s="196"/>
      <c r="J152" s="224"/>
      <c r="K152" s="223"/>
      <c r="L152" s="223"/>
      <c r="M152" s="224"/>
      <c r="N152" s="224"/>
      <c r="P152" s="142" t="str">
        <f t="shared" si="17"/>
        <v/>
      </c>
      <c r="Q152" s="142" t="str">
        <f t="shared" si="18"/>
        <v/>
      </c>
      <c r="AA152" s="142" t="s">
        <v>1109</v>
      </c>
      <c r="AB152" s="142" t="s">
        <v>1110</v>
      </c>
    </row>
    <row r="153" spans="1:28">
      <c r="A153" s="152"/>
      <c r="B153" s="147" t="str">
        <f t="shared" si="15"/>
        <v/>
      </c>
      <c r="C153" s="152"/>
      <c r="D153" s="147" t="str">
        <f t="shared" si="14"/>
        <v/>
      </c>
      <c r="E153" s="199"/>
      <c r="F153" s="147" t="str">
        <f t="shared" si="16"/>
        <v/>
      </c>
      <c r="G153" s="196"/>
      <c r="H153" s="196"/>
      <c r="I153" s="196"/>
      <c r="J153" s="224"/>
      <c r="K153" s="223"/>
      <c r="L153" s="223"/>
      <c r="M153" s="224"/>
      <c r="N153" s="224"/>
      <c r="P153" s="142" t="str">
        <f t="shared" si="17"/>
        <v/>
      </c>
      <c r="Q153" s="142" t="str">
        <f t="shared" si="18"/>
        <v/>
      </c>
      <c r="AA153" s="142" t="s">
        <v>1111</v>
      </c>
      <c r="AB153" s="142" t="s">
        <v>1112</v>
      </c>
    </row>
    <row r="154" spans="1:28">
      <c r="A154" s="152"/>
      <c r="B154" s="147" t="str">
        <f t="shared" si="15"/>
        <v/>
      </c>
      <c r="C154" s="152"/>
      <c r="D154" s="147" t="str">
        <f t="shared" si="14"/>
        <v/>
      </c>
      <c r="E154" s="199"/>
      <c r="F154" s="147" t="str">
        <f t="shared" si="16"/>
        <v/>
      </c>
      <c r="G154" s="196"/>
      <c r="H154" s="196"/>
      <c r="I154" s="196"/>
      <c r="J154" s="224"/>
      <c r="K154" s="223"/>
      <c r="L154" s="223"/>
      <c r="M154" s="224"/>
      <c r="N154" s="224"/>
      <c r="P154" s="142" t="str">
        <f t="shared" si="17"/>
        <v/>
      </c>
      <c r="Q154" s="142" t="str">
        <f t="shared" si="18"/>
        <v/>
      </c>
      <c r="AA154" s="142" t="s">
        <v>1113</v>
      </c>
      <c r="AB154" s="142" t="s">
        <v>1114</v>
      </c>
    </row>
    <row r="155" spans="1:28">
      <c r="A155" s="152"/>
      <c r="B155" s="147" t="str">
        <f t="shared" si="15"/>
        <v/>
      </c>
      <c r="C155" s="152"/>
      <c r="D155" s="147" t="str">
        <f t="shared" si="14"/>
        <v/>
      </c>
      <c r="E155" s="199"/>
      <c r="F155" s="147" t="str">
        <f t="shared" si="16"/>
        <v/>
      </c>
      <c r="G155" s="196"/>
      <c r="H155" s="196"/>
      <c r="I155" s="196"/>
      <c r="J155" s="224"/>
      <c r="K155" s="223"/>
      <c r="L155" s="223"/>
      <c r="M155" s="224"/>
      <c r="N155" s="224"/>
      <c r="P155" s="142" t="str">
        <f t="shared" si="17"/>
        <v/>
      </c>
      <c r="Q155" s="142" t="str">
        <f t="shared" si="18"/>
        <v/>
      </c>
      <c r="AA155" s="142" t="s">
        <v>1115</v>
      </c>
      <c r="AB155" s="142" t="s">
        <v>1116</v>
      </c>
    </row>
    <row r="156" spans="1:28">
      <c r="A156" s="152"/>
      <c r="B156" s="147" t="str">
        <f t="shared" si="15"/>
        <v/>
      </c>
      <c r="C156" s="152"/>
      <c r="D156" s="147" t="str">
        <f t="shared" si="14"/>
        <v/>
      </c>
      <c r="E156" s="199"/>
      <c r="F156" s="147" t="str">
        <f t="shared" si="16"/>
        <v/>
      </c>
      <c r="G156" s="196"/>
      <c r="H156" s="196"/>
      <c r="I156" s="196"/>
      <c r="J156" s="224"/>
      <c r="K156" s="223"/>
      <c r="L156" s="223"/>
      <c r="M156" s="224"/>
      <c r="N156" s="224"/>
      <c r="P156" s="142" t="str">
        <f t="shared" si="17"/>
        <v/>
      </c>
      <c r="Q156" s="142" t="str">
        <f t="shared" si="18"/>
        <v/>
      </c>
      <c r="AA156" s="142" t="s">
        <v>1117</v>
      </c>
      <c r="AB156" s="142" t="s">
        <v>1118</v>
      </c>
    </row>
    <row r="157" spans="1:28">
      <c r="A157" s="152"/>
      <c r="B157" s="147" t="str">
        <f t="shared" si="15"/>
        <v/>
      </c>
      <c r="C157" s="152"/>
      <c r="D157" s="147" t="str">
        <f t="shared" si="14"/>
        <v/>
      </c>
      <c r="E157" s="199"/>
      <c r="F157" s="147" t="str">
        <f t="shared" si="16"/>
        <v/>
      </c>
      <c r="G157" s="196"/>
      <c r="H157" s="196"/>
      <c r="I157" s="196"/>
      <c r="J157" s="224"/>
      <c r="K157" s="223"/>
      <c r="L157" s="223"/>
      <c r="M157" s="224"/>
      <c r="N157" s="224"/>
      <c r="P157" s="142" t="str">
        <f t="shared" si="17"/>
        <v/>
      </c>
      <c r="Q157" s="142" t="str">
        <f t="shared" si="18"/>
        <v/>
      </c>
      <c r="AA157" s="142" t="s">
        <v>1119</v>
      </c>
      <c r="AB157" s="142" t="s">
        <v>1120</v>
      </c>
    </row>
    <row r="158" spans="1:28">
      <c r="A158" s="152"/>
      <c r="B158" s="147" t="str">
        <f t="shared" si="15"/>
        <v/>
      </c>
      <c r="C158" s="152"/>
      <c r="D158" s="147" t="str">
        <f t="shared" si="14"/>
        <v/>
      </c>
      <c r="E158" s="199"/>
      <c r="F158" s="147" t="str">
        <f t="shared" si="16"/>
        <v/>
      </c>
      <c r="G158" s="196"/>
      <c r="H158" s="196"/>
      <c r="I158" s="196"/>
      <c r="J158" s="224"/>
      <c r="K158" s="223"/>
      <c r="L158" s="223"/>
      <c r="M158" s="224"/>
      <c r="N158" s="224"/>
      <c r="P158" s="142" t="str">
        <f t="shared" si="17"/>
        <v/>
      </c>
      <c r="Q158" s="142" t="str">
        <f t="shared" si="18"/>
        <v/>
      </c>
      <c r="AA158" s="142" t="s">
        <v>1121</v>
      </c>
      <c r="AB158" s="142" t="s">
        <v>1122</v>
      </c>
    </row>
    <row r="159" spans="1:28">
      <c r="A159" s="152"/>
      <c r="B159" s="147" t="str">
        <f t="shared" si="15"/>
        <v/>
      </c>
      <c r="C159" s="152"/>
      <c r="D159" s="147" t="str">
        <f t="shared" si="14"/>
        <v/>
      </c>
      <c r="E159" s="199"/>
      <c r="F159" s="147" t="str">
        <f t="shared" si="16"/>
        <v/>
      </c>
      <c r="G159" s="196"/>
      <c r="H159" s="196"/>
      <c r="I159" s="196"/>
      <c r="J159" s="224"/>
      <c r="K159" s="223"/>
      <c r="L159" s="223"/>
      <c r="M159" s="224"/>
      <c r="N159" s="224"/>
      <c r="P159" s="142" t="str">
        <f t="shared" si="17"/>
        <v/>
      </c>
      <c r="Q159" s="142" t="str">
        <f t="shared" si="18"/>
        <v/>
      </c>
      <c r="AA159" s="142" t="s">
        <v>1123</v>
      </c>
      <c r="AB159" s="142" t="s">
        <v>1124</v>
      </c>
    </row>
    <row r="160" spans="1:28">
      <c r="A160" s="152"/>
      <c r="B160" s="147" t="str">
        <f t="shared" si="15"/>
        <v/>
      </c>
      <c r="C160" s="152"/>
      <c r="D160" s="147" t="str">
        <f t="shared" si="14"/>
        <v/>
      </c>
      <c r="E160" s="199"/>
      <c r="F160" s="147" t="str">
        <f t="shared" si="16"/>
        <v/>
      </c>
      <c r="G160" s="196"/>
      <c r="H160" s="196"/>
      <c r="I160" s="196"/>
      <c r="J160" s="224"/>
      <c r="K160" s="223"/>
      <c r="L160" s="223"/>
      <c r="M160" s="224"/>
      <c r="N160" s="224"/>
      <c r="P160" s="142" t="str">
        <f t="shared" si="17"/>
        <v/>
      </c>
      <c r="Q160" s="142" t="str">
        <f t="shared" si="18"/>
        <v/>
      </c>
      <c r="AA160" s="142" t="s">
        <v>1125</v>
      </c>
      <c r="AB160" s="142" t="s">
        <v>1126</v>
      </c>
    </row>
    <row r="161" spans="1:28">
      <c r="A161" s="152"/>
      <c r="B161" s="147" t="str">
        <f t="shared" si="15"/>
        <v/>
      </c>
      <c r="C161" s="152"/>
      <c r="D161" s="147" t="str">
        <f t="shared" si="14"/>
        <v/>
      </c>
      <c r="E161" s="199"/>
      <c r="F161" s="147" t="str">
        <f t="shared" si="16"/>
        <v/>
      </c>
      <c r="G161" s="196"/>
      <c r="H161" s="196"/>
      <c r="I161" s="196"/>
      <c r="J161" s="224"/>
      <c r="K161" s="223"/>
      <c r="L161" s="223"/>
      <c r="M161" s="224"/>
      <c r="N161" s="224"/>
      <c r="P161" s="142" t="str">
        <f t="shared" si="17"/>
        <v/>
      </c>
      <c r="Q161" s="142" t="str">
        <f t="shared" si="18"/>
        <v/>
      </c>
      <c r="AA161" s="142" t="s">
        <v>1127</v>
      </c>
      <c r="AB161" s="142" t="s">
        <v>1128</v>
      </c>
    </row>
    <row r="162" spans="1:28">
      <c r="A162" s="152"/>
      <c r="B162" s="147" t="str">
        <f t="shared" si="15"/>
        <v/>
      </c>
      <c r="C162" s="152"/>
      <c r="D162" s="147" t="str">
        <f t="shared" si="14"/>
        <v/>
      </c>
      <c r="E162" s="199"/>
      <c r="F162" s="147" t="str">
        <f t="shared" si="16"/>
        <v/>
      </c>
      <c r="G162" s="196"/>
      <c r="H162" s="196"/>
      <c r="I162" s="196"/>
      <c r="J162" s="224"/>
      <c r="K162" s="223"/>
      <c r="L162" s="223"/>
      <c r="M162" s="224"/>
      <c r="N162" s="224"/>
      <c r="P162" s="142" t="str">
        <f t="shared" si="17"/>
        <v/>
      </c>
      <c r="Q162" s="142" t="str">
        <f t="shared" si="18"/>
        <v/>
      </c>
      <c r="AA162" s="142" t="s">
        <v>1129</v>
      </c>
      <c r="AB162" s="142" t="s">
        <v>1130</v>
      </c>
    </row>
    <row r="163" spans="1:28">
      <c r="A163" s="152"/>
      <c r="B163" s="147" t="str">
        <f t="shared" si="15"/>
        <v/>
      </c>
      <c r="C163" s="152"/>
      <c r="D163" s="147" t="str">
        <f t="shared" si="14"/>
        <v/>
      </c>
      <c r="E163" s="199"/>
      <c r="F163" s="147" t="str">
        <f t="shared" si="16"/>
        <v/>
      </c>
      <c r="G163" s="196"/>
      <c r="H163" s="196"/>
      <c r="I163" s="196"/>
      <c r="J163" s="224"/>
      <c r="K163" s="223"/>
      <c r="L163" s="223"/>
      <c r="M163" s="224"/>
      <c r="N163" s="224"/>
      <c r="P163" s="142" t="str">
        <f t="shared" si="17"/>
        <v/>
      </c>
      <c r="Q163" s="142" t="str">
        <f t="shared" si="18"/>
        <v/>
      </c>
      <c r="AA163" s="142" t="s">
        <v>1131</v>
      </c>
      <c r="AB163" s="142" t="s">
        <v>1132</v>
      </c>
    </row>
    <row r="164" spans="1:28">
      <c r="A164" s="152"/>
      <c r="B164" s="147" t="str">
        <f t="shared" si="15"/>
        <v/>
      </c>
      <c r="C164" s="152"/>
      <c r="D164" s="147" t="str">
        <f t="shared" si="14"/>
        <v/>
      </c>
      <c r="E164" s="199"/>
      <c r="F164" s="147" t="str">
        <f t="shared" si="16"/>
        <v/>
      </c>
      <c r="G164" s="196"/>
      <c r="H164" s="196"/>
      <c r="I164" s="196"/>
      <c r="J164" s="224"/>
      <c r="K164" s="223"/>
      <c r="L164" s="223"/>
      <c r="M164" s="224"/>
      <c r="N164" s="224"/>
      <c r="P164" s="142" t="str">
        <f t="shared" si="17"/>
        <v/>
      </c>
      <c r="Q164" s="142" t="str">
        <f t="shared" si="18"/>
        <v/>
      </c>
      <c r="AA164" s="142" t="s">
        <v>1133</v>
      </c>
      <c r="AB164" s="142" t="s">
        <v>1134</v>
      </c>
    </row>
    <row r="165" spans="1:28">
      <c r="A165" s="152"/>
      <c r="B165" s="147" t="str">
        <f t="shared" si="15"/>
        <v/>
      </c>
      <c r="C165" s="152"/>
      <c r="D165" s="147" t="str">
        <f t="shared" si="14"/>
        <v/>
      </c>
      <c r="E165" s="199"/>
      <c r="F165" s="147" t="str">
        <f t="shared" si="16"/>
        <v/>
      </c>
      <c r="G165" s="196"/>
      <c r="H165" s="196"/>
      <c r="I165" s="196"/>
      <c r="J165" s="224"/>
      <c r="K165" s="223"/>
      <c r="L165" s="223"/>
      <c r="M165" s="224"/>
      <c r="N165" s="224"/>
      <c r="P165" s="142" t="str">
        <f t="shared" si="17"/>
        <v/>
      </c>
      <c r="Q165" s="142" t="str">
        <f t="shared" si="18"/>
        <v/>
      </c>
      <c r="AA165" s="142" t="s">
        <v>1135</v>
      </c>
      <c r="AB165" s="142" t="s">
        <v>1136</v>
      </c>
    </row>
    <row r="166" spans="1:28">
      <c r="A166" s="152"/>
      <c r="B166" s="147" t="str">
        <f t="shared" si="15"/>
        <v/>
      </c>
      <c r="C166" s="152"/>
      <c r="D166" s="147" t="str">
        <f t="shared" si="14"/>
        <v/>
      </c>
      <c r="E166" s="199"/>
      <c r="F166" s="147" t="str">
        <f t="shared" si="16"/>
        <v/>
      </c>
      <c r="G166" s="196"/>
      <c r="H166" s="196"/>
      <c r="I166" s="196"/>
      <c r="J166" s="224"/>
      <c r="K166" s="223"/>
      <c r="L166" s="223"/>
      <c r="M166" s="224"/>
      <c r="N166" s="224"/>
      <c r="P166" s="142" t="str">
        <f t="shared" si="17"/>
        <v/>
      </c>
      <c r="Q166" s="142" t="str">
        <f t="shared" si="18"/>
        <v/>
      </c>
      <c r="AA166" s="142" t="s">
        <v>1137</v>
      </c>
      <c r="AB166" s="142" t="s">
        <v>1138</v>
      </c>
    </row>
    <row r="167" spans="1:28">
      <c r="A167" s="152"/>
      <c r="B167" s="147" t="str">
        <f t="shared" si="15"/>
        <v/>
      </c>
      <c r="C167" s="152"/>
      <c r="D167" s="147" t="str">
        <f t="shared" si="14"/>
        <v/>
      </c>
      <c r="E167" s="199"/>
      <c r="F167" s="147" t="str">
        <f t="shared" si="16"/>
        <v/>
      </c>
      <c r="G167" s="196"/>
      <c r="H167" s="196"/>
      <c r="I167" s="196"/>
      <c r="J167" s="224"/>
      <c r="K167" s="223"/>
      <c r="L167" s="223"/>
      <c r="M167" s="224"/>
      <c r="N167" s="224"/>
      <c r="P167" s="142" t="str">
        <f t="shared" si="17"/>
        <v/>
      </c>
      <c r="Q167" s="142" t="str">
        <f t="shared" si="18"/>
        <v/>
      </c>
      <c r="AA167" s="142" t="s">
        <v>1139</v>
      </c>
      <c r="AB167" s="142" t="s">
        <v>1140</v>
      </c>
    </row>
    <row r="168" spans="1:28">
      <c r="A168" s="152"/>
      <c r="B168" s="147" t="str">
        <f t="shared" si="15"/>
        <v/>
      </c>
      <c r="C168" s="152"/>
      <c r="D168" s="147" t="str">
        <f t="shared" si="14"/>
        <v/>
      </c>
      <c r="E168" s="199"/>
      <c r="F168" s="147" t="str">
        <f t="shared" si="16"/>
        <v/>
      </c>
      <c r="G168" s="196"/>
      <c r="H168" s="196"/>
      <c r="I168" s="196"/>
      <c r="J168" s="224"/>
      <c r="K168" s="223"/>
      <c r="L168" s="223"/>
      <c r="M168" s="224"/>
      <c r="N168" s="224"/>
      <c r="P168" s="142" t="str">
        <f t="shared" si="17"/>
        <v/>
      </c>
      <c r="Q168" s="142" t="str">
        <f t="shared" si="18"/>
        <v/>
      </c>
      <c r="AA168" s="142" t="s">
        <v>1141</v>
      </c>
      <c r="AB168" s="142" t="s">
        <v>1142</v>
      </c>
    </row>
    <row r="169" spans="1:28">
      <c r="A169" s="152"/>
      <c r="B169" s="147" t="str">
        <f t="shared" si="15"/>
        <v/>
      </c>
      <c r="C169" s="152"/>
      <c r="D169" s="147" t="str">
        <f t="shared" si="14"/>
        <v/>
      </c>
      <c r="E169" s="199"/>
      <c r="F169" s="147" t="str">
        <f t="shared" si="16"/>
        <v/>
      </c>
      <c r="G169" s="196"/>
      <c r="H169" s="196"/>
      <c r="I169" s="196"/>
      <c r="J169" s="224"/>
      <c r="K169" s="223"/>
      <c r="L169" s="223"/>
      <c r="M169" s="224"/>
      <c r="N169" s="224"/>
      <c r="P169" s="142" t="str">
        <f t="shared" si="17"/>
        <v/>
      </c>
      <c r="Q169" s="142" t="str">
        <f t="shared" si="18"/>
        <v/>
      </c>
      <c r="AA169" s="142" t="s">
        <v>1143</v>
      </c>
      <c r="AB169" s="142" t="s">
        <v>1144</v>
      </c>
    </row>
    <row r="170" spans="1:28">
      <c r="A170" s="152"/>
      <c r="B170" s="147" t="str">
        <f t="shared" si="15"/>
        <v/>
      </c>
      <c r="C170" s="152"/>
      <c r="D170" s="147" t="str">
        <f t="shared" si="14"/>
        <v/>
      </c>
      <c r="E170" s="199"/>
      <c r="F170" s="147" t="str">
        <f t="shared" si="16"/>
        <v/>
      </c>
      <c r="G170" s="196"/>
      <c r="H170" s="196"/>
      <c r="I170" s="196"/>
      <c r="J170" s="224"/>
      <c r="K170" s="223"/>
      <c r="L170" s="223"/>
      <c r="M170" s="224"/>
      <c r="N170" s="224"/>
      <c r="P170" s="142" t="str">
        <f t="shared" si="17"/>
        <v/>
      </c>
      <c r="Q170" s="142" t="str">
        <f t="shared" si="18"/>
        <v/>
      </c>
      <c r="AA170" s="142" t="s">
        <v>1145</v>
      </c>
      <c r="AB170" s="142" t="s">
        <v>1146</v>
      </c>
    </row>
    <row r="171" spans="1:28">
      <c r="A171" s="152"/>
      <c r="B171" s="147" t="str">
        <f t="shared" si="15"/>
        <v/>
      </c>
      <c r="C171" s="152"/>
      <c r="D171" s="147" t="str">
        <f t="shared" si="14"/>
        <v/>
      </c>
      <c r="E171" s="199"/>
      <c r="F171" s="147" t="str">
        <f t="shared" si="16"/>
        <v/>
      </c>
      <c r="G171" s="196"/>
      <c r="H171" s="196"/>
      <c r="I171" s="196"/>
      <c r="J171" s="224"/>
      <c r="K171" s="223"/>
      <c r="L171" s="223"/>
      <c r="M171" s="224"/>
      <c r="N171" s="224"/>
      <c r="P171" s="142" t="str">
        <f t="shared" si="17"/>
        <v/>
      </c>
      <c r="Q171" s="142" t="str">
        <f t="shared" si="18"/>
        <v/>
      </c>
      <c r="AA171" s="142" t="s">
        <v>1147</v>
      </c>
      <c r="AB171" s="142" t="s">
        <v>1148</v>
      </c>
    </row>
    <row r="172" spans="1:28">
      <c r="A172" s="152"/>
      <c r="B172" s="147" t="str">
        <f t="shared" si="15"/>
        <v/>
      </c>
      <c r="C172" s="152"/>
      <c r="D172" s="147" t="str">
        <f t="shared" si="14"/>
        <v/>
      </c>
      <c r="E172" s="199"/>
      <c r="F172" s="147" t="str">
        <f t="shared" si="16"/>
        <v/>
      </c>
      <c r="G172" s="196"/>
      <c r="H172" s="196"/>
      <c r="I172" s="196"/>
      <c r="J172" s="224"/>
      <c r="K172" s="223"/>
      <c r="L172" s="223"/>
      <c r="M172" s="224"/>
      <c r="N172" s="224"/>
      <c r="P172" s="142" t="str">
        <f t="shared" si="17"/>
        <v/>
      </c>
      <c r="Q172" s="142" t="str">
        <f t="shared" si="18"/>
        <v/>
      </c>
      <c r="AA172" s="142" t="s">
        <v>1149</v>
      </c>
      <c r="AB172" s="142" t="s">
        <v>1150</v>
      </c>
    </row>
    <row r="173" spans="1:28">
      <c r="A173" s="152"/>
      <c r="B173" s="147" t="str">
        <f t="shared" si="15"/>
        <v/>
      </c>
      <c r="C173" s="152"/>
      <c r="D173" s="147" t="str">
        <f t="shared" si="14"/>
        <v/>
      </c>
      <c r="E173" s="199"/>
      <c r="F173" s="147" t="str">
        <f t="shared" si="16"/>
        <v/>
      </c>
      <c r="G173" s="196"/>
      <c r="H173" s="196"/>
      <c r="I173" s="196"/>
      <c r="J173" s="224"/>
      <c r="K173" s="223"/>
      <c r="L173" s="223"/>
      <c r="M173" s="224"/>
      <c r="N173" s="224"/>
      <c r="P173" s="142" t="str">
        <f t="shared" si="17"/>
        <v/>
      </c>
      <c r="Q173" s="142" t="str">
        <f t="shared" si="18"/>
        <v/>
      </c>
      <c r="AA173" s="142" t="s">
        <v>1151</v>
      </c>
      <c r="AB173" s="142" t="s">
        <v>1152</v>
      </c>
    </row>
    <row r="174" spans="1:28">
      <c r="A174" s="152"/>
      <c r="B174" s="147" t="str">
        <f t="shared" si="15"/>
        <v/>
      </c>
      <c r="C174" s="152"/>
      <c r="D174" s="147" t="str">
        <f t="shared" si="14"/>
        <v/>
      </c>
      <c r="E174" s="199"/>
      <c r="F174" s="147" t="str">
        <f t="shared" si="16"/>
        <v/>
      </c>
      <c r="G174" s="196"/>
      <c r="H174" s="196"/>
      <c r="I174" s="196"/>
      <c r="J174" s="224"/>
      <c r="K174" s="223"/>
      <c r="L174" s="223"/>
      <c r="M174" s="224"/>
      <c r="N174" s="224"/>
      <c r="P174" s="142" t="str">
        <f t="shared" si="17"/>
        <v/>
      </c>
      <c r="Q174" s="142" t="str">
        <f t="shared" si="18"/>
        <v/>
      </c>
      <c r="AA174" s="142" t="s">
        <v>1153</v>
      </c>
      <c r="AB174" s="142" t="s">
        <v>1154</v>
      </c>
    </row>
    <row r="175" spans="1:28">
      <c r="A175" s="152"/>
      <c r="B175" s="147" t="str">
        <f t="shared" si="15"/>
        <v/>
      </c>
      <c r="C175" s="152"/>
      <c r="D175" s="147" t="str">
        <f t="shared" si="14"/>
        <v/>
      </c>
      <c r="E175" s="199"/>
      <c r="F175" s="147" t="str">
        <f t="shared" si="16"/>
        <v/>
      </c>
      <c r="G175" s="196"/>
      <c r="H175" s="196"/>
      <c r="I175" s="196"/>
      <c r="J175" s="224"/>
      <c r="K175" s="223"/>
      <c r="L175" s="223"/>
      <c r="M175" s="224"/>
      <c r="N175" s="224"/>
      <c r="P175" s="142" t="str">
        <f t="shared" si="17"/>
        <v/>
      </c>
      <c r="Q175" s="142" t="str">
        <f t="shared" si="18"/>
        <v/>
      </c>
      <c r="AA175" s="142" t="s">
        <v>1155</v>
      </c>
      <c r="AB175" s="142" t="s">
        <v>1156</v>
      </c>
    </row>
    <row r="176" spans="1:28">
      <c r="A176" s="152"/>
      <c r="B176" s="147" t="str">
        <f t="shared" si="15"/>
        <v/>
      </c>
      <c r="C176" s="152"/>
      <c r="D176" s="147" t="str">
        <f t="shared" si="14"/>
        <v/>
      </c>
      <c r="E176" s="199"/>
      <c r="F176" s="147" t="str">
        <f t="shared" si="16"/>
        <v/>
      </c>
      <c r="G176" s="196"/>
      <c r="H176" s="196"/>
      <c r="I176" s="196"/>
      <c r="J176" s="224"/>
      <c r="K176" s="223"/>
      <c r="L176" s="223"/>
      <c r="M176" s="224"/>
      <c r="N176" s="224"/>
      <c r="P176" s="142" t="str">
        <f t="shared" si="17"/>
        <v/>
      </c>
      <c r="Q176" s="142" t="str">
        <f t="shared" si="18"/>
        <v/>
      </c>
      <c r="AA176" s="142" t="s">
        <v>1157</v>
      </c>
      <c r="AB176" s="142" t="s">
        <v>1158</v>
      </c>
    </row>
    <row r="177" spans="1:28">
      <c r="A177" s="152"/>
      <c r="B177" s="147" t="str">
        <f t="shared" si="15"/>
        <v/>
      </c>
      <c r="C177" s="152"/>
      <c r="D177" s="147" t="str">
        <f t="shared" si="14"/>
        <v/>
      </c>
      <c r="E177" s="199"/>
      <c r="F177" s="147" t="str">
        <f t="shared" si="16"/>
        <v/>
      </c>
      <c r="G177" s="196"/>
      <c r="H177" s="196"/>
      <c r="I177" s="196"/>
      <c r="J177" s="224"/>
      <c r="K177" s="223"/>
      <c r="L177" s="223"/>
      <c r="M177" s="224"/>
      <c r="N177" s="224"/>
      <c r="P177" s="142" t="str">
        <f t="shared" si="17"/>
        <v/>
      </c>
      <c r="Q177" s="142" t="str">
        <f t="shared" si="18"/>
        <v/>
      </c>
      <c r="AA177" s="142" t="s">
        <v>1159</v>
      </c>
      <c r="AB177" s="142" t="s">
        <v>1160</v>
      </c>
    </row>
    <row r="178" spans="1:28">
      <c r="A178" s="152"/>
      <c r="B178" s="147" t="str">
        <f t="shared" si="15"/>
        <v/>
      </c>
      <c r="C178" s="152"/>
      <c r="D178" s="147" t="str">
        <f t="shared" si="14"/>
        <v/>
      </c>
      <c r="E178" s="199"/>
      <c r="F178" s="147" t="str">
        <f t="shared" si="16"/>
        <v/>
      </c>
      <c r="G178" s="196"/>
      <c r="H178" s="196"/>
      <c r="I178" s="196"/>
      <c r="J178" s="224"/>
      <c r="K178" s="223"/>
      <c r="L178" s="223"/>
      <c r="M178" s="224"/>
      <c r="N178" s="224"/>
      <c r="P178" s="142" t="str">
        <f t="shared" si="17"/>
        <v/>
      </c>
      <c r="Q178" s="142" t="str">
        <f t="shared" si="18"/>
        <v/>
      </c>
      <c r="AA178" s="142" t="s">
        <v>1161</v>
      </c>
      <c r="AB178" s="142" t="s">
        <v>1162</v>
      </c>
    </row>
    <row r="179" spans="1:28">
      <c r="A179" s="152"/>
      <c r="B179" s="147" t="str">
        <f t="shared" si="15"/>
        <v/>
      </c>
      <c r="C179" s="152"/>
      <c r="D179" s="147" t="str">
        <f t="shared" si="14"/>
        <v/>
      </c>
      <c r="E179" s="199"/>
      <c r="F179" s="147" t="str">
        <f t="shared" si="16"/>
        <v/>
      </c>
      <c r="G179" s="196"/>
      <c r="H179" s="196"/>
      <c r="I179" s="196"/>
      <c r="J179" s="224"/>
      <c r="K179" s="223"/>
      <c r="L179" s="223"/>
      <c r="M179" s="224"/>
      <c r="N179" s="224"/>
      <c r="P179" s="142" t="str">
        <f t="shared" si="17"/>
        <v/>
      </c>
      <c r="Q179" s="142" t="str">
        <f t="shared" si="18"/>
        <v/>
      </c>
      <c r="AA179" s="142" t="s">
        <v>1163</v>
      </c>
      <c r="AB179" s="142" t="s">
        <v>1164</v>
      </c>
    </row>
    <row r="180" spans="1:28">
      <c r="A180" s="152"/>
      <c r="B180" s="147" t="str">
        <f t="shared" si="15"/>
        <v/>
      </c>
      <c r="C180" s="152"/>
      <c r="D180" s="147" t="str">
        <f t="shared" si="14"/>
        <v/>
      </c>
      <c r="E180" s="199"/>
      <c r="F180" s="147" t="str">
        <f t="shared" si="16"/>
        <v/>
      </c>
      <c r="G180" s="196"/>
      <c r="H180" s="196"/>
      <c r="I180" s="196"/>
      <c r="J180" s="224"/>
      <c r="K180" s="223"/>
      <c r="L180" s="223"/>
      <c r="M180" s="224"/>
      <c r="N180" s="224"/>
      <c r="P180" s="142" t="str">
        <f t="shared" si="17"/>
        <v/>
      </c>
      <c r="Q180" s="142" t="str">
        <f t="shared" si="18"/>
        <v/>
      </c>
      <c r="AA180" s="142" t="s">
        <v>1165</v>
      </c>
      <c r="AB180" s="142" t="s">
        <v>1166</v>
      </c>
    </row>
    <row r="181" spans="1:28">
      <c r="A181" s="152"/>
      <c r="B181" s="147" t="str">
        <f t="shared" si="15"/>
        <v/>
      </c>
      <c r="C181" s="152"/>
      <c r="D181" s="147" t="str">
        <f t="shared" si="14"/>
        <v/>
      </c>
      <c r="E181" s="199"/>
      <c r="F181" s="147" t="str">
        <f t="shared" si="16"/>
        <v/>
      </c>
      <c r="G181" s="196"/>
      <c r="H181" s="196"/>
      <c r="I181" s="196"/>
      <c r="J181" s="224"/>
      <c r="K181" s="223"/>
      <c r="L181" s="223"/>
      <c r="M181" s="224"/>
      <c r="N181" s="224"/>
      <c r="P181" s="142" t="str">
        <f t="shared" si="17"/>
        <v/>
      </c>
      <c r="Q181" s="142" t="str">
        <f t="shared" si="18"/>
        <v/>
      </c>
      <c r="AA181" s="142" t="s">
        <v>1167</v>
      </c>
      <c r="AB181" s="142" t="s">
        <v>1168</v>
      </c>
    </row>
    <row r="182" spans="1:28">
      <c r="A182" s="152"/>
      <c r="B182" s="147" t="str">
        <f t="shared" si="15"/>
        <v/>
      </c>
      <c r="C182" s="152"/>
      <c r="D182" s="147" t="str">
        <f t="shared" si="14"/>
        <v/>
      </c>
      <c r="E182" s="199"/>
      <c r="F182" s="147" t="str">
        <f t="shared" si="16"/>
        <v/>
      </c>
      <c r="G182" s="196"/>
      <c r="H182" s="196"/>
      <c r="I182" s="196"/>
      <c r="J182" s="224"/>
      <c r="K182" s="223"/>
      <c r="L182" s="223"/>
      <c r="M182" s="224"/>
      <c r="N182" s="224"/>
      <c r="P182" s="142" t="str">
        <f t="shared" si="17"/>
        <v/>
      </c>
      <c r="Q182" s="142" t="str">
        <f t="shared" si="18"/>
        <v/>
      </c>
      <c r="AA182" s="142" t="s">
        <v>1169</v>
      </c>
      <c r="AB182" s="142" t="s">
        <v>1170</v>
      </c>
    </row>
    <row r="183" spans="1:28">
      <c r="A183" s="152"/>
      <c r="B183" s="147" t="str">
        <f t="shared" si="15"/>
        <v/>
      </c>
      <c r="C183" s="152"/>
      <c r="D183" s="147" t="str">
        <f t="shared" si="14"/>
        <v/>
      </c>
      <c r="E183" s="199"/>
      <c r="F183" s="147" t="str">
        <f t="shared" si="16"/>
        <v/>
      </c>
      <c r="G183" s="196"/>
      <c r="H183" s="196"/>
      <c r="I183" s="196"/>
      <c r="J183" s="224"/>
      <c r="K183" s="223"/>
      <c r="L183" s="223"/>
      <c r="M183" s="224"/>
      <c r="N183" s="224"/>
      <c r="P183" s="142" t="str">
        <f t="shared" si="17"/>
        <v/>
      </c>
      <c r="Q183" s="142" t="str">
        <f t="shared" si="18"/>
        <v/>
      </c>
      <c r="AA183" s="142" t="s">
        <v>1597</v>
      </c>
      <c r="AB183" s="142" t="s">
        <v>1598</v>
      </c>
    </row>
    <row r="184" spans="1:28">
      <c r="A184" s="152"/>
      <c r="B184" s="147" t="str">
        <f t="shared" si="15"/>
        <v/>
      </c>
      <c r="C184" s="152"/>
      <c r="D184" s="147" t="str">
        <f t="shared" si="14"/>
        <v/>
      </c>
      <c r="E184" s="199"/>
      <c r="F184" s="147" t="str">
        <f t="shared" si="16"/>
        <v/>
      </c>
      <c r="G184" s="196"/>
      <c r="H184" s="196"/>
      <c r="I184" s="196"/>
      <c r="J184" s="224"/>
      <c r="K184" s="223"/>
      <c r="L184" s="223"/>
      <c r="M184" s="224"/>
      <c r="N184" s="224"/>
      <c r="P184" s="142" t="str">
        <f t="shared" si="17"/>
        <v/>
      </c>
      <c r="Q184" s="142" t="str">
        <f t="shared" si="18"/>
        <v/>
      </c>
      <c r="AA184" s="142" t="s">
        <v>1599</v>
      </c>
      <c r="AB184" s="142" t="s">
        <v>1600</v>
      </c>
    </row>
    <row r="185" spans="1:28">
      <c r="A185" s="152"/>
      <c r="B185" s="147" t="str">
        <f t="shared" si="15"/>
        <v/>
      </c>
      <c r="C185" s="152"/>
      <c r="D185" s="147" t="str">
        <f t="shared" si="14"/>
        <v/>
      </c>
      <c r="E185" s="199"/>
      <c r="F185" s="147" t="str">
        <f t="shared" si="16"/>
        <v/>
      </c>
      <c r="G185" s="196"/>
      <c r="H185" s="196"/>
      <c r="I185" s="196"/>
      <c r="J185" s="224"/>
      <c r="K185" s="223"/>
      <c r="L185" s="223"/>
      <c r="M185" s="224"/>
      <c r="N185" s="224"/>
      <c r="P185" s="142" t="str">
        <f t="shared" si="17"/>
        <v/>
      </c>
      <c r="Q185" s="142" t="str">
        <f t="shared" si="18"/>
        <v/>
      </c>
      <c r="AA185" s="142" t="s">
        <v>1601</v>
      </c>
      <c r="AB185" s="142" t="s">
        <v>1602</v>
      </c>
    </row>
    <row r="186" spans="1:28">
      <c r="A186" s="152"/>
      <c r="B186" s="147" t="str">
        <f t="shared" si="15"/>
        <v/>
      </c>
      <c r="C186" s="152"/>
      <c r="D186" s="147" t="str">
        <f t="shared" si="14"/>
        <v/>
      </c>
      <c r="E186" s="199"/>
      <c r="F186" s="147" t="str">
        <f t="shared" si="16"/>
        <v/>
      </c>
      <c r="G186" s="196"/>
      <c r="H186" s="196"/>
      <c r="I186" s="196"/>
      <c r="J186" s="224"/>
      <c r="K186" s="223"/>
      <c r="L186" s="223"/>
      <c r="M186" s="224"/>
      <c r="N186" s="224"/>
      <c r="P186" s="142" t="str">
        <f t="shared" si="17"/>
        <v/>
      </c>
      <c r="Q186" s="142" t="str">
        <f t="shared" si="18"/>
        <v/>
      </c>
      <c r="AA186" s="142" t="s">
        <v>1603</v>
      </c>
      <c r="AB186" s="142" t="s">
        <v>370</v>
      </c>
    </row>
    <row r="187" spans="1:28">
      <c r="A187" s="152"/>
      <c r="B187" s="147" t="str">
        <f t="shared" si="15"/>
        <v/>
      </c>
      <c r="C187" s="152"/>
      <c r="D187" s="147" t="str">
        <f t="shared" si="14"/>
        <v/>
      </c>
      <c r="E187" s="199"/>
      <c r="F187" s="147" t="str">
        <f t="shared" si="16"/>
        <v/>
      </c>
      <c r="G187" s="196"/>
      <c r="H187" s="196"/>
      <c r="I187" s="196"/>
      <c r="J187" s="224"/>
      <c r="K187" s="223"/>
      <c r="L187" s="223"/>
      <c r="M187" s="224"/>
      <c r="N187" s="224"/>
      <c r="P187" s="142" t="str">
        <f t="shared" si="17"/>
        <v/>
      </c>
      <c r="Q187" s="142" t="str">
        <f t="shared" si="18"/>
        <v/>
      </c>
      <c r="AA187" s="142" t="s">
        <v>1604</v>
      </c>
      <c r="AB187" s="142" t="s">
        <v>1605</v>
      </c>
    </row>
    <row r="188" spans="1:28">
      <c r="A188" s="152"/>
      <c r="B188" s="147" t="str">
        <f t="shared" si="15"/>
        <v/>
      </c>
      <c r="C188" s="152"/>
      <c r="D188" s="147" t="str">
        <f t="shared" si="14"/>
        <v/>
      </c>
      <c r="E188" s="199"/>
      <c r="F188" s="147" t="str">
        <f t="shared" si="16"/>
        <v/>
      </c>
      <c r="G188" s="196"/>
      <c r="H188" s="196"/>
      <c r="I188" s="196"/>
      <c r="J188" s="224"/>
      <c r="K188" s="223"/>
      <c r="L188" s="223"/>
      <c r="M188" s="224"/>
      <c r="N188" s="224"/>
      <c r="P188" s="142" t="str">
        <f t="shared" si="17"/>
        <v/>
      </c>
      <c r="Q188" s="142" t="str">
        <f t="shared" si="18"/>
        <v/>
      </c>
      <c r="AA188" s="142" t="s">
        <v>1606</v>
      </c>
      <c r="AB188" s="142" t="s">
        <v>1607</v>
      </c>
    </row>
    <row r="189" spans="1:28">
      <c r="A189" s="152"/>
      <c r="B189" s="147" t="str">
        <f t="shared" si="15"/>
        <v/>
      </c>
      <c r="C189" s="152"/>
      <c r="D189" s="147" t="str">
        <f t="shared" si="14"/>
        <v/>
      </c>
      <c r="E189" s="199"/>
      <c r="F189" s="147" t="str">
        <f t="shared" si="16"/>
        <v/>
      </c>
      <c r="G189" s="196"/>
      <c r="H189" s="196"/>
      <c r="I189" s="196"/>
      <c r="J189" s="224"/>
      <c r="K189" s="223"/>
      <c r="L189" s="223"/>
      <c r="M189" s="224"/>
      <c r="N189" s="224"/>
      <c r="P189" s="142" t="str">
        <f t="shared" si="17"/>
        <v/>
      </c>
      <c r="Q189" s="142" t="str">
        <f t="shared" si="18"/>
        <v/>
      </c>
      <c r="AA189" s="142" t="s">
        <v>1608</v>
      </c>
      <c r="AB189" s="142" t="s">
        <v>1609</v>
      </c>
    </row>
    <row r="190" spans="1:28">
      <c r="A190" s="152"/>
      <c r="B190" s="147" t="str">
        <f t="shared" si="15"/>
        <v/>
      </c>
      <c r="C190" s="152"/>
      <c r="D190" s="147" t="str">
        <f t="shared" si="14"/>
        <v/>
      </c>
      <c r="E190" s="199"/>
      <c r="F190" s="147" t="str">
        <f t="shared" si="16"/>
        <v/>
      </c>
      <c r="G190" s="196"/>
      <c r="H190" s="196"/>
      <c r="I190" s="196"/>
      <c r="J190" s="224"/>
      <c r="K190" s="223"/>
      <c r="L190" s="223"/>
      <c r="M190" s="224"/>
      <c r="N190" s="224"/>
      <c r="P190" s="142" t="str">
        <f t="shared" si="17"/>
        <v/>
      </c>
      <c r="Q190" s="142" t="str">
        <f t="shared" si="18"/>
        <v/>
      </c>
      <c r="AA190" s="142" t="s">
        <v>1610</v>
      </c>
      <c r="AB190" s="142" t="s">
        <v>1611</v>
      </c>
    </row>
    <row r="191" spans="1:28">
      <c r="A191" s="152"/>
      <c r="B191" s="147" t="str">
        <f t="shared" si="15"/>
        <v/>
      </c>
      <c r="C191" s="152"/>
      <c r="D191" s="147" t="str">
        <f t="shared" si="14"/>
        <v/>
      </c>
      <c r="E191" s="199"/>
      <c r="F191" s="147" t="str">
        <f t="shared" si="16"/>
        <v/>
      </c>
      <c r="G191" s="196"/>
      <c r="H191" s="196"/>
      <c r="I191" s="196"/>
      <c r="J191" s="224"/>
      <c r="K191" s="223"/>
      <c r="L191" s="223"/>
      <c r="M191" s="224"/>
      <c r="N191" s="224"/>
      <c r="P191" s="142" t="str">
        <f t="shared" si="17"/>
        <v/>
      </c>
      <c r="Q191" s="142" t="str">
        <f t="shared" si="18"/>
        <v/>
      </c>
      <c r="AA191" s="142" t="s">
        <v>1612</v>
      </c>
      <c r="AB191" s="142" t="s">
        <v>1613</v>
      </c>
    </row>
    <row r="192" spans="1:28">
      <c r="A192" s="152"/>
      <c r="B192" s="147" t="str">
        <f t="shared" si="15"/>
        <v/>
      </c>
      <c r="C192" s="152"/>
      <c r="D192" s="147" t="str">
        <f t="shared" si="14"/>
        <v/>
      </c>
      <c r="E192" s="199"/>
      <c r="F192" s="147" t="str">
        <f t="shared" si="16"/>
        <v/>
      </c>
      <c r="G192" s="196"/>
      <c r="H192" s="196"/>
      <c r="I192" s="196"/>
      <c r="J192" s="224"/>
      <c r="K192" s="223"/>
      <c r="L192" s="223"/>
      <c r="M192" s="224"/>
      <c r="N192" s="224"/>
      <c r="P192" s="142" t="str">
        <f t="shared" si="17"/>
        <v/>
      </c>
      <c r="Q192" s="142" t="str">
        <f t="shared" si="18"/>
        <v/>
      </c>
      <c r="AA192" s="142" t="s">
        <v>1253</v>
      </c>
      <c r="AB192" s="142" t="s">
        <v>369</v>
      </c>
    </row>
    <row r="193" spans="1:28">
      <c r="A193" s="152"/>
      <c r="B193" s="147" t="str">
        <f t="shared" si="15"/>
        <v/>
      </c>
      <c r="C193" s="152"/>
      <c r="D193" s="147" t="str">
        <f t="shared" si="14"/>
        <v/>
      </c>
      <c r="E193" s="199"/>
      <c r="F193" s="147" t="str">
        <f t="shared" si="16"/>
        <v/>
      </c>
      <c r="G193" s="196"/>
      <c r="H193" s="196"/>
      <c r="I193" s="196"/>
      <c r="J193" s="224"/>
      <c r="K193" s="223"/>
      <c r="L193" s="223"/>
      <c r="M193" s="224"/>
      <c r="N193" s="224"/>
      <c r="P193" s="142" t="str">
        <f t="shared" si="17"/>
        <v/>
      </c>
      <c r="Q193" s="142" t="str">
        <f t="shared" si="18"/>
        <v/>
      </c>
      <c r="AA193" s="142" t="s">
        <v>1254</v>
      </c>
      <c r="AB193" s="142" t="s">
        <v>370</v>
      </c>
    </row>
    <row r="194" spans="1:28">
      <c r="A194" s="152"/>
      <c r="B194" s="147" t="str">
        <f t="shared" si="15"/>
        <v/>
      </c>
      <c r="C194" s="152"/>
      <c r="D194" s="147" t="str">
        <f t="shared" si="14"/>
        <v/>
      </c>
      <c r="E194" s="199"/>
      <c r="F194" s="147" t="str">
        <f t="shared" si="16"/>
        <v/>
      </c>
      <c r="G194" s="196"/>
      <c r="H194" s="196"/>
      <c r="I194" s="196"/>
      <c r="J194" s="224"/>
      <c r="K194" s="223"/>
      <c r="L194" s="223"/>
      <c r="M194" s="224"/>
      <c r="N194" s="224"/>
      <c r="P194" s="142" t="str">
        <f t="shared" si="17"/>
        <v/>
      </c>
      <c r="Q194" s="142" t="str">
        <f t="shared" si="18"/>
        <v/>
      </c>
      <c r="AA194" s="142" t="s">
        <v>1255</v>
      </c>
      <c r="AB194" s="142" t="s">
        <v>1256</v>
      </c>
    </row>
    <row r="195" spans="1:28">
      <c r="A195" s="152"/>
      <c r="B195" s="147" t="str">
        <f t="shared" si="15"/>
        <v/>
      </c>
      <c r="C195" s="152"/>
      <c r="D195" s="147" t="str">
        <f t="shared" ref="D195:D258" si="19">IFERROR(VLOOKUP(C195,$U$5:$W$129,2,FALSE),"")</f>
        <v/>
      </c>
      <c r="E195" s="199"/>
      <c r="F195" s="147" t="str">
        <f t="shared" si="16"/>
        <v/>
      </c>
      <c r="G195" s="196"/>
      <c r="H195" s="196"/>
      <c r="I195" s="196"/>
      <c r="J195" s="224"/>
      <c r="K195" s="223"/>
      <c r="L195" s="223"/>
      <c r="M195" s="224"/>
      <c r="N195" s="224"/>
      <c r="P195" s="142" t="str">
        <f t="shared" si="17"/>
        <v/>
      </c>
      <c r="Q195" s="142" t="str">
        <f t="shared" si="18"/>
        <v/>
      </c>
      <c r="AA195" s="142" t="s">
        <v>1257</v>
      </c>
      <c r="AB195" s="142" t="s">
        <v>1174</v>
      </c>
    </row>
    <row r="196" spans="1:28">
      <c r="A196" s="152"/>
      <c r="B196" s="147" t="str">
        <f t="shared" ref="B196:B259" si="20">IFERROR(VLOOKUP(A196,$R$6:$S$22,2,FALSE),"")</f>
        <v/>
      </c>
      <c r="C196" s="152"/>
      <c r="D196" s="147" t="str">
        <f t="shared" si="19"/>
        <v/>
      </c>
      <c r="E196" s="199"/>
      <c r="F196" s="147" t="str">
        <f t="shared" ref="F196:F259" si="21">IFERROR(VLOOKUP(E196,$AA$6:$AB$239,2,FALSE),"")</f>
        <v/>
      </c>
      <c r="G196" s="196"/>
      <c r="H196" s="196"/>
      <c r="I196" s="196"/>
      <c r="J196" s="224"/>
      <c r="K196" s="223"/>
      <c r="L196" s="223"/>
      <c r="M196" s="224"/>
      <c r="N196" s="224"/>
      <c r="P196" s="142" t="str">
        <f t="shared" ref="P196:P259" si="22">LEFT(C196,3)</f>
        <v/>
      </c>
      <c r="Q196" s="142" t="str">
        <f t="shared" ref="Q196:Q259" si="23">LEFT(C196,2)</f>
        <v/>
      </c>
      <c r="AA196" s="142" t="s">
        <v>1614</v>
      </c>
      <c r="AB196" s="142" t="s">
        <v>1615</v>
      </c>
    </row>
    <row r="197" spans="1:28">
      <c r="A197" s="152"/>
      <c r="B197" s="147" t="str">
        <f t="shared" si="20"/>
        <v/>
      </c>
      <c r="C197" s="152"/>
      <c r="D197" s="147" t="str">
        <f t="shared" si="19"/>
        <v/>
      </c>
      <c r="E197" s="199"/>
      <c r="F197" s="147" t="str">
        <f t="shared" si="21"/>
        <v/>
      </c>
      <c r="G197" s="196"/>
      <c r="H197" s="196"/>
      <c r="I197" s="196"/>
      <c r="J197" s="224"/>
      <c r="K197" s="223"/>
      <c r="L197" s="223"/>
      <c r="M197" s="224"/>
      <c r="N197" s="224"/>
      <c r="P197" s="142" t="str">
        <f t="shared" si="22"/>
        <v/>
      </c>
      <c r="Q197" s="142" t="str">
        <f t="shared" si="23"/>
        <v/>
      </c>
      <c r="AA197" s="142" t="s">
        <v>1616</v>
      </c>
      <c r="AB197" s="142" t="s">
        <v>1617</v>
      </c>
    </row>
    <row r="198" spans="1:28">
      <c r="A198" s="152"/>
      <c r="B198" s="147" t="str">
        <f t="shared" si="20"/>
        <v/>
      </c>
      <c r="C198" s="152"/>
      <c r="D198" s="147" t="str">
        <f t="shared" si="19"/>
        <v/>
      </c>
      <c r="E198" s="199"/>
      <c r="F198" s="147" t="str">
        <f t="shared" si="21"/>
        <v/>
      </c>
      <c r="G198" s="196"/>
      <c r="H198" s="196"/>
      <c r="I198" s="196"/>
      <c r="J198" s="224"/>
      <c r="K198" s="223"/>
      <c r="L198" s="223"/>
      <c r="M198" s="224"/>
      <c r="N198" s="224"/>
      <c r="P198" s="142" t="str">
        <f t="shared" si="22"/>
        <v/>
      </c>
      <c r="Q198" s="142" t="str">
        <f t="shared" si="23"/>
        <v/>
      </c>
      <c r="AA198" s="142" t="s">
        <v>1618</v>
      </c>
      <c r="AB198" s="142" t="s">
        <v>1619</v>
      </c>
    </row>
    <row r="199" spans="1:28">
      <c r="A199" s="152"/>
      <c r="B199" s="147" t="str">
        <f t="shared" si="20"/>
        <v/>
      </c>
      <c r="C199" s="152"/>
      <c r="D199" s="147" t="str">
        <f t="shared" si="19"/>
        <v/>
      </c>
      <c r="E199" s="199"/>
      <c r="F199" s="147" t="str">
        <f t="shared" si="21"/>
        <v/>
      </c>
      <c r="G199" s="196"/>
      <c r="H199" s="196"/>
      <c r="I199" s="196"/>
      <c r="J199" s="224"/>
      <c r="K199" s="223"/>
      <c r="L199" s="223"/>
      <c r="M199" s="224"/>
      <c r="N199" s="224"/>
      <c r="P199" s="142" t="str">
        <f t="shared" si="22"/>
        <v/>
      </c>
      <c r="Q199" s="142" t="str">
        <f t="shared" si="23"/>
        <v/>
      </c>
      <c r="AA199" s="142" t="s">
        <v>1620</v>
      </c>
      <c r="AB199" s="142" t="s">
        <v>1621</v>
      </c>
    </row>
    <row r="200" spans="1:28">
      <c r="A200" s="152"/>
      <c r="B200" s="147" t="str">
        <f t="shared" si="20"/>
        <v/>
      </c>
      <c r="C200" s="152"/>
      <c r="D200" s="147" t="str">
        <f t="shared" si="19"/>
        <v/>
      </c>
      <c r="E200" s="199"/>
      <c r="F200" s="147" t="str">
        <f t="shared" si="21"/>
        <v/>
      </c>
      <c r="G200" s="196"/>
      <c r="H200" s="196"/>
      <c r="I200" s="196"/>
      <c r="J200" s="224"/>
      <c r="K200" s="223"/>
      <c r="L200" s="223"/>
      <c r="M200" s="224"/>
      <c r="N200" s="224"/>
      <c r="P200" s="142" t="str">
        <f t="shared" si="22"/>
        <v/>
      </c>
      <c r="Q200" s="142" t="str">
        <f t="shared" si="23"/>
        <v/>
      </c>
      <c r="AA200" s="142" t="s">
        <v>1622</v>
      </c>
      <c r="AB200" s="142" t="s">
        <v>1623</v>
      </c>
    </row>
    <row r="201" spans="1:28">
      <c r="A201" s="152"/>
      <c r="B201" s="147" t="str">
        <f t="shared" si="20"/>
        <v/>
      </c>
      <c r="C201" s="152"/>
      <c r="D201" s="147" t="str">
        <f t="shared" si="19"/>
        <v/>
      </c>
      <c r="E201" s="199"/>
      <c r="F201" s="147" t="str">
        <f t="shared" si="21"/>
        <v/>
      </c>
      <c r="G201" s="196"/>
      <c r="H201" s="196"/>
      <c r="I201" s="196"/>
      <c r="J201" s="224"/>
      <c r="K201" s="223"/>
      <c r="L201" s="223"/>
      <c r="M201" s="224"/>
      <c r="N201" s="224"/>
      <c r="P201" s="142" t="str">
        <f t="shared" si="22"/>
        <v/>
      </c>
      <c r="Q201" s="142" t="str">
        <f t="shared" si="23"/>
        <v/>
      </c>
      <c r="AA201" s="142" t="s">
        <v>1624</v>
      </c>
      <c r="AB201" s="142" t="s">
        <v>1625</v>
      </c>
    </row>
    <row r="202" spans="1:28">
      <c r="A202" s="152"/>
      <c r="B202" s="147" t="str">
        <f t="shared" si="20"/>
        <v/>
      </c>
      <c r="C202" s="152"/>
      <c r="D202" s="147" t="str">
        <f t="shared" si="19"/>
        <v/>
      </c>
      <c r="E202" s="199"/>
      <c r="F202" s="147" t="str">
        <f t="shared" si="21"/>
        <v/>
      </c>
      <c r="G202" s="196"/>
      <c r="H202" s="196"/>
      <c r="I202" s="196"/>
      <c r="J202" s="224"/>
      <c r="K202" s="223"/>
      <c r="L202" s="223"/>
      <c r="M202" s="224"/>
      <c r="N202" s="224"/>
      <c r="P202" s="142" t="str">
        <f t="shared" si="22"/>
        <v/>
      </c>
      <c r="Q202" s="142" t="str">
        <f t="shared" si="23"/>
        <v/>
      </c>
      <c r="AA202" s="142" t="s">
        <v>1171</v>
      </c>
      <c r="AB202" s="142" t="s">
        <v>369</v>
      </c>
    </row>
    <row r="203" spans="1:28">
      <c r="A203" s="152"/>
      <c r="B203" s="147" t="str">
        <f t="shared" si="20"/>
        <v/>
      </c>
      <c r="C203" s="152"/>
      <c r="D203" s="147" t="str">
        <f t="shared" si="19"/>
        <v/>
      </c>
      <c r="E203" s="199"/>
      <c r="F203" s="147" t="str">
        <f t="shared" si="21"/>
        <v/>
      </c>
      <c r="G203" s="196"/>
      <c r="H203" s="196"/>
      <c r="I203" s="196"/>
      <c r="J203" s="224"/>
      <c r="K203" s="223"/>
      <c r="L203" s="223"/>
      <c r="M203" s="224"/>
      <c r="N203" s="224"/>
      <c r="P203" s="142" t="str">
        <f t="shared" si="22"/>
        <v/>
      </c>
      <c r="Q203" s="142" t="str">
        <f t="shared" si="23"/>
        <v/>
      </c>
      <c r="AA203" s="142" t="s">
        <v>1172</v>
      </c>
      <c r="AB203" s="142" t="s">
        <v>370</v>
      </c>
    </row>
    <row r="204" spans="1:28">
      <c r="A204" s="152"/>
      <c r="B204" s="147" t="str">
        <f t="shared" si="20"/>
        <v/>
      </c>
      <c r="C204" s="152"/>
      <c r="D204" s="147" t="str">
        <f t="shared" si="19"/>
        <v/>
      </c>
      <c r="E204" s="199"/>
      <c r="F204" s="147" t="str">
        <f t="shared" si="21"/>
        <v/>
      </c>
      <c r="G204" s="196"/>
      <c r="H204" s="196"/>
      <c r="I204" s="196"/>
      <c r="J204" s="224"/>
      <c r="K204" s="223"/>
      <c r="L204" s="223"/>
      <c r="M204" s="224"/>
      <c r="N204" s="224"/>
      <c r="P204" s="142" t="str">
        <f t="shared" si="22"/>
        <v/>
      </c>
      <c r="Q204" s="142" t="str">
        <f t="shared" si="23"/>
        <v/>
      </c>
      <c r="AA204" s="142" t="s">
        <v>1173</v>
      </c>
      <c r="AB204" s="142" t="s">
        <v>1174</v>
      </c>
    </row>
    <row r="205" spans="1:28">
      <c r="A205" s="152"/>
      <c r="B205" s="147" t="str">
        <f t="shared" si="20"/>
        <v/>
      </c>
      <c r="C205" s="152"/>
      <c r="D205" s="147" t="str">
        <f t="shared" si="19"/>
        <v/>
      </c>
      <c r="E205" s="199"/>
      <c r="F205" s="147" t="str">
        <f t="shared" si="21"/>
        <v/>
      </c>
      <c r="G205" s="196"/>
      <c r="H205" s="196"/>
      <c r="I205" s="196"/>
      <c r="J205" s="224"/>
      <c r="K205" s="223"/>
      <c r="L205" s="223"/>
      <c r="M205" s="224"/>
      <c r="N205" s="224"/>
      <c r="P205" s="142" t="str">
        <f t="shared" si="22"/>
        <v/>
      </c>
      <c r="Q205" s="142" t="str">
        <f t="shared" si="23"/>
        <v/>
      </c>
      <c r="AA205" s="142" t="s">
        <v>1175</v>
      </c>
      <c r="AB205" s="142" t="s">
        <v>1176</v>
      </c>
    </row>
    <row r="206" spans="1:28">
      <c r="A206" s="152"/>
      <c r="B206" s="147" t="str">
        <f t="shared" si="20"/>
        <v/>
      </c>
      <c r="C206" s="152"/>
      <c r="D206" s="147" t="str">
        <f t="shared" si="19"/>
        <v/>
      </c>
      <c r="E206" s="199"/>
      <c r="F206" s="147" t="str">
        <f t="shared" si="21"/>
        <v/>
      </c>
      <c r="G206" s="196"/>
      <c r="H206" s="196"/>
      <c r="I206" s="196"/>
      <c r="J206" s="224"/>
      <c r="K206" s="223"/>
      <c r="L206" s="223"/>
      <c r="M206" s="224"/>
      <c r="N206" s="224"/>
      <c r="P206" s="142" t="str">
        <f t="shared" si="22"/>
        <v/>
      </c>
      <c r="Q206" s="142" t="str">
        <f t="shared" si="23"/>
        <v/>
      </c>
      <c r="AA206" s="142" t="s">
        <v>1177</v>
      </c>
      <c r="AB206" s="142" t="s">
        <v>1178</v>
      </c>
    </row>
    <row r="207" spans="1:28">
      <c r="A207" s="152"/>
      <c r="B207" s="147" t="str">
        <f t="shared" si="20"/>
        <v/>
      </c>
      <c r="C207" s="152"/>
      <c r="D207" s="147" t="str">
        <f t="shared" si="19"/>
        <v/>
      </c>
      <c r="E207" s="199"/>
      <c r="F207" s="147" t="str">
        <f t="shared" si="21"/>
        <v/>
      </c>
      <c r="G207" s="196"/>
      <c r="H207" s="196"/>
      <c r="I207" s="196"/>
      <c r="J207" s="224"/>
      <c r="K207" s="223"/>
      <c r="L207" s="223"/>
      <c r="M207" s="224"/>
      <c r="N207" s="224"/>
      <c r="P207" s="142" t="str">
        <f t="shared" si="22"/>
        <v/>
      </c>
      <c r="Q207" s="142" t="str">
        <f t="shared" si="23"/>
        <v/>
      </c>
      <c r="AA207" s="142" t="s">
        <v>1179</v>
      </c>
      <c r="AB207" s="142" t="s">
        <v>1180</v>
      </c>
    </row>
    <row r="208" spans="1:28">
      <c r="A208" s="152"/>
      <c r="B208" s="147" t="str">
        <f t="shared" si="20"/>
        <v/>
      </c>
      <c r="C208" s="152"/>
      <c r="D208" s="147" t="str">
        <f t="shared" si="19"/>
        <v/>
      </c>
      <c r="E208" s="199"/>
      <c r="F208" s="147" t="str">
        <f t="shared" si="21"/>
        <v/>
      </c>
      <c r="G208" s="196"/>
      <c r="H208" s="196"/>
      <c r="I208" s="196"/>
      <c r="J208" s="224"/>
      <c r="K208" s="223"/>
      <c r="L208" s="223"/>
      <c r="M208" s="224"/>
      <c r="N208" s="224"/>
      <c r="P208" s="142" t="str">
        <f t="shared" si="22"/>
        <v/>
      </c>
      <c r="Q208" s="142" t="str">
        <f t="shared" si="23"/>
        <v/>
      </c>
      <c r="AA208" s="142" t="s">
        <v>1181</v>
      </c>
      <c r="AB208" s="142" t="s">
        <v>1182</v>
      </c>
    </row>
    <row r="209" spans="1:28">
      <c r="A209" s="152"/>
      <c r="B209" s="147" t="str">
        <f t="shared" si="20"/>
        <v/>
      </c>
      <c r="C209" s="152"/>
      <c r="D209" s="147" t="str">
        <f t="shared" si="19"/>
        <v/>
      </c>
      <c r="E209" s="199"/>
      <c r="F209" s="147" t="str">
        <f t="shared" si="21"/>
        <v/>
      </c>
      <c r="G209" s="196"/>
      <c r="H209" s="196"/>
      <c r="I209" s="196"/>
      <c r="J209" s="224"/>
      <c r="K209" s="223"/>
      <c r="L209" s="223"/>
      <c r="M209" s="224"/>
      <c r="N209" s="224"/>
      <c r="P209" s="142" t="str">
        <f t="shared" si="22"/>
        <v/>
      </c>
      <c r="Q209" s="142" t="str">
        <f t="shared" si="23"/>
        <v/>
      </c>
      <c r="AA209" s="142" t="s">
        <v>1183</v>
      </c>
      <c r="AB209" s="142" t="s">
        <v>1184</v>
      </c>
    </row>
    <row r="210" spans="1:28">
      <c r="A210" s="152"/>
      <c r="B210" s="147" t="str">
        <f t="shared" si="20"/>
        <v/>
      </c>
      <c r="C210" s="152"/>
      <c r="D210" s="147" t="str">
        <f t="shared" si="19"/>
        <v/>
      </c>
      <c r="E210" s="199"/>
      <c r="F210" s="147" t="str">
        <f t="shared" si="21"/>
        <v/>
      </c>
      <c r="G210" s="196"/>
      <c r="H210" s="196"/>
      <c r="I210" s="196"/>
      <c r="J210" s="224"/>
      <c r="K210" s="223"/>
      <c r="L210" s="223"/>
      <c r="M210" s="224"/>
      <c r="N210" s="224"/>
      <c r="P210" s="142" t="str">
        <f t="shared" si="22"/>
        <v/>
      </c>
      <c r="Q210" s="142" t="str">
        <f t="shared" si="23"/>
        <v/>
      </c>
      <c r="AA210" s="142" t="s">
        <v>1552</v>
      </c>
      <c r="AB210" s="142" t="s">
        <v>1553</v>
      </c>
    </row>
    <row r="211" spans="1:28">
      <c r="A211" s="152"/>
      <c r="B211" s="147" t="str">
        <f t="shared" si="20"/>
        <v/>
      </c>
      <c r="C211" s="152"/>
      <c r="D211" s="147" t="str">
        <f t="shared" si="19"/>
        <v/>
      </c>
      <c r="E211" s="199"/>
      <c r="F211" s="147" t="str">
        <f t="shared" si="21"/>
        <v/>
      </c>
      <c r="G211" s="196"/>
      <c r="H211" s="196"/>
      <c r="I211" s="196"/>
      <c r="J211" s="224"/>
      <c r="K211" s="223"/>
      <c r="L211" s="223"/>
      <c r="M211" s="224"/>
      <c r="N211" s="224"/>
      <c r="P211" s="142" t="str">
        <f t="shared" si="22"/>
        <v/>
      </c>
      <c r="Q211" s="142" t="str">
        <f t="shared" si="23"/>
        <v/>
      </c>
      <c r="AA211" s="142" t="s">
        <v>1554</v>
      </c>
      <c r="AB211" s="142" t="s">
        <v>1555</v>
      </c>
    </row>
    <row r="212" spans="1:28">
      <c r="A212" s="152"/>
      <c r="B212" s="147" t="str">
        <f t="shared" si="20"/>
        <v/>
      </c>
      <c r="C212" s="152"/>
      <c r="D212" s="147" t="str">
        <f t="shared" si="19"/>
        <v/>
      </c>
      <c r="E212" s="199"/>
      <c r="F212" s="147" t="str">
        <f t="shared" si="21"/>
        <v/>
      </c>
      <c r="G212" s="196"/>
      <c r="H212" s="196"/>
      <c r="I212" s="196"/>
      <c r="J212" s="224"/>
      <c r="K212" s="223"/>
      <c r="L212" s="223"/>
      <c r="M212" s="224"/>
      <c r="N212" s="224"/>
      <c r="P212" s="142" t="str">
        <f t="shared" si="22"/>
        <v/>
      </c>
      <c r="Q212" s="142" t="str">
        <f t="shared" si="23"/>
        <v/>
      </c>
      <c r="AA212" s="142" t="s">
        <v>1556</v>
      </c>
      <c r="AB212" s="142" t="s">
        <v>1557</v>
      </c>
    </row>
    <row r="213" spans="1:28">
      <c r="A213" s="152"/>
      <c r="B213" s="147" t="str">
        <f t="shared" si="20"/>
        <v/>
      </c>
      <c r="C213" s="152"/>
      <c r="D213" s="147" t="str">
        <f t="shared" si="19"/>
        <v/>
      </c>
      <c r="E213" s="199"/>
      <c r="F213" s="147" t="str">
        <f t="shared" si="21"/>
        <v/>
      </c>
      <c r="G213" s="196"/>
      <c r="H213" s="196"/>
      <c r="I213" s="196"/>
      <c r="J213" s="224"/>
      <c r="K213" s="223"/>
      <c r="L213" s="223"/>
      <c r="M213" s="224"/>
      <c r="N213" s="224"/>
      <c r="P213" s="142" t="str">
        <f t="shared" si="22"/>
        <v/>
      </c>
      <c r="Q213" s="142" t="str">
        <f t="shared" si="23"/>
        <v/>
      </c>
      <c r="AA213" s="142" t="s">
        <v>1558</v>
      </c>
      <c r="AB213" s="142" t="s">
        <v>1559</v>
      </c>
    </row>
    <row r="214" spans="1:28">
      <c r="A214" s="152"/>
      <c r="B214" s="147" t="str">
        <f t="shared" si="20"/>
        <v/>
      </c>
      <c r="C214" s="152"/>
      <c r="D214" s="147" t="str">
        <f t="shared" si="19"/>
        <v/>
      </c>
      <c r="E214" s="199"/>
      <c r="F214" s="147" t="str">
        <f t="shared" si="21"/>
        <v/>
      </c>
      <c r="G214" s="196"/>
      <c r="H214" s="196"/>
      <c r="I214" s="196"/>
      <c r="J214" s="224"/>
      <c r="K214" s="223"/>
      <c r="L214" s="223"/>
      <c r="M214" s="224"/>
      <c r="N214" s="224"/>
      <c r="P214" s="142" t="str">
        <f t="shared" si="22"/>
        <v/>
      </c>
      <c r="Q214" s="142" t="str">
        <f t="shared" si="23"/>
        <v/>
      </c>
      <c r="AA214" s="142" t="s">
        <v>1560</v>
      </c>
      <c r="AB214" s="142" t="s">
        <v>1561</v>
      </c>
    </row>
    <row r="215" spans="1:28">
      <c r="A215" s="152"/>
      <c r="B215" s="147" t="str">
        <f t="shared" si="20"/>
        <v/>
      </c>
      <c r="C215" s="152"/>
      <c r="D215" s="147" t="str">
        <f t="shared" si="19"/>
        <v/>
      </c>
      <c r="E215" s="199"/>
      <c r="F215" s="147" t="str">
        <f t="shared" si="21"/>
        <v/>
      </c>
      <c r="G215" s="196"/>
      <c r="H215" s="196"/>
      <c r="I215" s="196"/>
      <c r="J215" s="224"/>
      <c r="K215" s="223"/>
      <c r="L215" s="223"/>
      <c r="M215" s="224"/>
      <c r="N215" s="224"/>
      <c r="P215" s="142" t="str">
        <f t="shared" si="22"/>
        <v/>
      </c>
      <c r="Q215" s="142" t="str">
        <f t="shared" si="23"/>
        <v/>
      </c>
      <c r="AA215" s="142" t="s">
        <v>1562</v>
      </c>
      <c r="AB215" s="142" t="s">
        <v>1563</v>
      </c>
    </row>
    <row r="216" spans="1:28">
      <c r="A216" s="152"/>
      <c r="B216" s="147" t="str">
        <f t="shared" si="20"/>
        <v/>
      </c>
      <c r="C216" s="152"/>
      <c r="D216" s="147" t="str">
        <f t="shared" si="19"/>
        <v/>
      </c>
      <c r="E216" s="199"/>
      <c r="F216" s="147" t="str">
        <f t="shared" si="21"/>
        <v/>
      </c>
      <c r="G216" s="196"/>
      <c r="H216" s="196"/>
      <c r="I216" s="196"/>
      <c r="J216" s="224"/>
      <c r="K216" s="223"/>
      <c r="L216" s="223"/>
      <c r="M216" s="224"/>
      <c r="N216" s="224"/>
      <c r="P216" s="142" t="str">
        <f t="shared" si="22"/>
        <v/>
      </c>
      <c r="Q216" s="142" t="str">
        <f t="shared" si="23"/>
        <v/>
      </c>
      <c r="AA216" s="142" t="s">
        <v>1564</v>
      </c>
      <c r="AB216" s="142" t="s">
        <v>1178</v>
      </c>
    </row>
    <row r="217" spans="1:28">
      <c r="A217" s="152"/>
      <c r="B217" s="147" t="str">
        <f t="shared" si="20"/>
        <v/>
      </c>
      <c r="C217" s="152"/>
      <c r="D217" s="147" t="str">
        <f t="shared" si="19"/>
        <v/>
      </c>
      <c r="E217" s="199"/>
      <c r="F217" s="147" t="str">
        <f t="shared" si="21"/>
        <v/>
      </c>
      <c r="G217" s="196"/>
      <c r="H217" s="196"/>
      <c r="I217" s="196"/>
      <c r="J217" s="224"/>
      <c r="K217" s="223"/>
      <c r="L217" s="223"/>
      <c r="M217" s="224"/>
      <c r="N217" s="224"/>
      <c r="P217" s="142" t="str">
        <f t="shared" si="22"/>
        <v/>
      </c>
      <c r="Q217" s="142" t="str">
        <f t="shared" si="23"/>
        <v/>
      </c>
      <c r="AA217" s="142" t="s">
        <v>1565</v>
      </c>
      <c r="AB217" s="142" t="s">
        <v>1180</v>
      </c>
    </row>
    <row r="218" spans="1:28">
      <c r="A218" s="152"/>
      <c r="B218" s="147" t="str">
        <f t="shared" si="20"/>
        <v/>
      </c>
      <c r="C218" s="152"/>
      <c r="D218" s="147" t="str">
        <f t="shared" si="19"/>
        <v/>
      </c>
      <c r="E218" s="199"/>
      <c r="F218" s="147" t="str">
        <f t="shared" si="21"/>
        <v/>
      </c>
      <c r="G218" s="196"/>
      <c r="H218" s="196"/>
      <c r="I218" s="196"/>
      <c r="J218" s="224"/>
      <c r="K218" s="223"/>
      <c r="L218" s="223"/>
      <c r="M218" s="224"/>
      <c r="N218" s="224"/>
      <c r="P218" s="142" t="str">
        <f t="shared" si="22"/>
        <v/>
      </c>
      <c r="Q218" s="142" t="str">
        <f t="shared" si="23"/>
        <v/>
      </c>
      <c r="AA218" s="142" t="s">
        <v>1566</v>
      </c>
      <c r="AB218" s="142" t="s">
        <v>1182</v>
      </c>
    </row>
    <row r="219" spans="1:28">
      <c r="A219" s="152"/>
      <c r="B219" s="147" t="str">
        <f t="shared" si="20"/>
        <v/>
      </c>
      <c r="C219" s="152"/>
      <c r="D219" s="147" t="str">
        <f t="shared" si="19"/>
        <v/>
      </c>
      <c r="E219" s="199"/>
      <c r="F219" s="147" t="str">
        <f t="shared" si="21"/>
        <v/>
      </c>
      <c r="G219" s="196"/>
      <c r="H219" s="196"/>
      <c r="I219" s="196"/>
      <c r="J219" s="224"/>
      <c r="K219" s="223"/>
      <c r="L219" s="223"/>
      <c r="M219" s="224"/>
      <c r="N219" s="224"/>
      <c r="P219" s="142" t="str">
        <f t="shared" si="22"/>
        <v/>
      </c>
      <c r="Q219" s="142" t="str">
        <f t="shared" si="23"/>
        <v/>
      </c>
      <c r="AA219" s="142" t="s">
        <v>1567</v>
      </c>
      <c r="AB219" s="142" t="s">
        <v>1568</v>
      </c>
    </row>
    <row r="220" spans="1:28">
      <c r="A220" s="152"/>
      <c r="B220" s="147" t="str">
        <f t="shared" si="20"/>
        <v/>
      </c>
      <c r="C220" s="152"/>
      <c r="D220" s="147" t="str">
        <f t="shared" si="19"/>
        <v/>
      </c>
      <c r="E220" s="199"/>
      <c r="F220" s="147" t="str">
        <f t="shared" si="21"/>
        <v/>
      </c>
      <c r="G220" s="196"/>
      <c r="H220" s="196"/>
      <c r="I220" s="196"/>
      <c r="J220" s="224"/>
      <c r="K220" s="223"/>
      <c r="L220" s="223"/>
      <c r="M220" s="224"/>
      <c r="N220" s="224"/>
      <c r="P220" s="142" t="str">
        <f t="shared" si="22"/>
        <v/>
      </c>
      <c r="Q220" s="142" t="str">
        <f t="shared" si="23"/>
        <v/>
      </c>
      <c r="AA220" s="142" t="s">
        <v>1569</v>
      </c>
      <c r="AB220" s="142" t="s">
        <v>1570</v>
      </c>
    </row>
    <row r="221" spans="1:28">
      <c r="A221" s="152"/>
      <c r="B221" s="147" t="str">
        <f t="shared" si="20"/>
        <v/>
      </c>
      <c r="C221" s="152"/>
      <c r="D221" s="147" t="str">
        <f t="shared" si="19"/>
        <v/>
      </c>
      <c r="E221" s="199"/>
      <c r="F221" s="147" t="str">
        <f t="shared" si="21"/>
        <v/>
      </c>
      <c r="G221" s="196"/>
      <c r="H221" s="196"/>
      <c r="I221" s="196"/>
      <c r="J221" s="224"/>
      <c r="K221" s="223"/>
      <c r="L221" s="223"/>
      <c r="M221" s="224"/>
      <c r="N221" s="224"/>
      <c r="P221" s="142" t="str">
        <f t="shared" si="22"/>
        <v/>
      </c>
      <c r="Q221" s="142" t="str">
        <f t="shared" si="23"/>
        <v/>
      </c>
      <c r="AA221" s="142" t="s">
        <v>1571</v>
      </c>
      <c r="AB221" s="142" t="s">
        <v>1572</v>
      </c>
    </row>
    <row r="222" spans="1:28">
      <c r="A222" s="152"/>
      <c r="B222" s="147" t="str">
        <f t="shared" si="20"/>
        <v/>
      </c>
      <c r="C222" s="152"/>
      <c r="D222" s="147" t="str">
        <f t="shared" si="19"/>
        <v/>
      </c>
      <c r="E222" s="199"/>
      <c r="F222" s="147" t="str">
        <f t="shared" si="21"/>
        <v/>
      </c>
      <c r="G222" s="196"/>
      <c r="H222" s="196"/>
      <c r="I222" s="196"/>
      <c r="J222" s="224"/>
      <c r="K222" s="223"/>
      <c r="L222" s="223"/>
      <c r="M222" s="224"/>
      <c r="N222" s="224"/>
      <c r="P222" s="142" t="str">
        <f t="shared" si="22"/>
        <v/>
      </c>
      <c r="Q222" s="142" t="str">
        <f t="shared" si="23"/>
        <v/>
      </c>
      <c r="AA222" s="142" t="s">
        <v>1573</v>
      </c>
      <c r="AB222" s="142" t="s">
        <v>1574</v>
      </c>
    </row>
    <row r="223" spans="1:28">
      <c r="A223" s="152"/>
      <c r="B223" s="147" t="str">
        <f t="shared" si="20"/>
        <v/>
      </c>
      <c r="C223" s="152"/>
      <c r="D223" s="147" t="str">
        <f t="shared" si="19"/>
        <v/>
      </c>
      <c r="E223" s="199"/>
      <c r="F223" s="147" t="str">
        <f t="shared" si="21"/>
        <v/>
      </c>
      <c r="G223" s="196"/>
      <c r="H223" s="196"/>
      <c r="I223" s="196"/>
      <c r="J223" s="224"/>
      <c r="K223" s="223"/>
      <c r="L223" s="223"/>
      <c r="M223" s="224"/>
      <c r="N223" s="224"/>
      <c r="P223" s="142" t="str">
        <f t="shared" si="22"/>
        <v/>
      </c>
      <c r="Q223" s="142" t="str">
        <f t="shared" si="23"/>
        <v/>
      </c>
      <c r="AA223" s="142" t="s">
        <v>1575</v>
      </c>
      <c r="AB223" s="142" t="s">
        <v>1576</v>
      </c>
    </row>
    <row r="224" spans="1:28">
      <c r="A224" s="152"/>
      <c r="B224" s="147" t="str">
        <f t="shared" si="20"/>
        <v/>
      </c>
      <c r="C224" s="152"/>
      <c r="D224" s="147" t="str">
        <f t="shared" si="19"/>
        <v/>
      </c>
      <c r="E224" s="199"/>
      <c r="F224" s="147" t="str">
        <f t="shared" si="21"/>
        <v/>
      </c>
      <c r="G224" s="196"/>
      <c r="H224" s="196"/>
      <c r="I224" s="196"/>
      <c r="J224" s="224"/>
      <c r="K224" s="223"/>
      <c r="L224" s="223"/>
      <c r="M224" s="224"/>
      <c r="N224" s="224"/>
      <c r="P224" s="142" t="str">
        <f t="shared" si="22"/>
        <v/>
      </c>
      <c r="Q224" s="142" t="str">
        <f t="shared" si="23"/>
        <v/>
      </c>
      <c r="AA224" s="142" t="s">
        <v>1577</v>
      </c>
      <c r="AB224" s="142" t="s">
        <v>1578</v>
      </c>
    </row>
    <row r="225" spans="1:28">
      <c r="A225" s="152"/>
      <c r="B225" s="147" t="str">
        <f t="shared" si="20"/>
        <v/>
      </c>
      <c r="C225" s="152"/>
      <c r="D225" s="147" t="str">
        <f t="shared" si="19"/>
        <v/>
      </c>
      <c r="E225" s="199"/>
      <c r="F225" s="147" t="str">
        <f t="shared" si="21"/>
        <v/>
      </c>
      <c r="G225" s="196"/>
      <c r="H225" s="196"/>
      <c r="I225" s="196"/>
      <c r="J225" s="224"/>
      <c r="K225" s="223"/>
      <c r="L225" s="223"/>
      <c r="M225" s="224"/>
      <c r="N225" s="224"/>
      <c r="P225" s="142" t="str">
        <f t="shared" si="22"/>
        <v/>
      </c>
      <c r="Q225" s="142" t="str">
        <f t="shared" si="23"/>
        <v/>
      </c>
      <c r="AA225" s="142" t="s">
        <v>1579</v>
      </c>
      <c r="AB225" s="142" t="s">
        <v>1580</v>
      </c>
    </row>
    <row r="226" spans="1:28">
      <c r="A226" s="152"/>
      <c r="B226" s="147" t="str">
        <f t="shared" si="20"/>
        <v/>
      </c>
      <c r="C226" s="152"/>
      <c r="D226" s="147" t="str">
        <f t="shared" si="19"/>
        <v/>
      </c>
      <c r="E226" s="199"/>
      <c r="F226" s="147" t="str">
        <f t="shared" si="21"/>
        <v/>
      </c>
      <c r="G226" s="196"/>
      <c r="H226" s="196"/>
      <c r="I226" s="196"/>
      <c r="J226" s="224"/>
      <c r="K226" s="223"/>
      <c r="L226" s="223"/>
      <c r="M226" s="224"/>
      <c r="N226" s="224"/>
      <c r="P226" s="142" t="str">
        <f t="shared" si="22"/>
        <v/>
      </c>
      <c r="Q226" s="142" t="str">
        <f t="shared" si="23"/>
        <v/>
      </c>
      <c r="AA226" s="142" t="s">
        <v>1581</v>
      </c>
      <c r="AB226" s="142" t="s">
        <v>1582</v>
      </c>
    </row>
    <row r="227" spans="1:28">
      <c r="A227" s="152"/>
      <c r="B227" s="147" t="str">
        <f t="shared" si="20"/>
        <v/>
      </c>
      <c r="C227" s="152"/>
      <c r="D227" s="147" t="str">
        <f t="shared" si="19"/>
        <v/>
      </c>
      <c r="E227" s="199"/>
      <c r="F227" s="147" t="str">
        <f t="shared" si="21"/>
        <v/>
      </c>
      <c r="G227" s="196"/>
      <c r="H227" s="196"/>
      <c r="I227" s="196"/>
      <c r="J227" s="224"/>
      <c r="K227" s="223"/>
      <c r="L227" s="223"/>
      <c r="M227" s="224"/>
      <c r="N227" s="224"/>
      <c r="P227" s="142" t="str">
        <f t="shared" si="22"/>
        <v/>
      </c>
      <c r="Q227" s="142" t="str">
        <f t="shared" si="23"/>
        <v/>
      </c>
      <c r="AA227" s="142" t="s">
        <v>1583</v>
      </c>
      <c r="AB227" s="142" t="s">
        <v>1584</v>
      </c>
    </row>
    <row r="228" spans="1:28">
      <c r="A228" s="152"/>
      <c r="B228" s="147" t="str">
        <f t="shared" si="20"/>
        <v/>
      </c>
      <c r="C228" s="152"/>
      <c r="D228" s="147" t="str">
        <f t="shared" si="19"/>
        <v/>
      </c>
      <c r="E228" s="199"/>
      <c r="F228" s="147" t="str">
        <f t="shared" si="21"/>
        <v/>
      </c>
      <c r="G228" s="196"/>
      <c r="H228" s="196"/>
      <c r="I228" s="196"/>
      <c r="J228" s="224"/>
      <c r="K228" s="223"/>
      <c r="L228" s="223"/>
      <c r="M228" s="224"/>
      <c r="N228" s="224"/>
      <c r="P228" s="142" t="str">
        <f t="shared" si="22"/>
        <v/>
      </c>
      <c r="Q228" s="142" t="str">
        <f t="shared" si="23"/>
        <v/>
      </c>
      <c r="AA228" s="142" t="s">
        <v>1585</v>
      </c>
      <c r="AB228" s="142" t="s">
        <v>1586</v>
      </c>
    </row>
    <row r="229" spans="1:28">
      <c r="A229" s="152"/>
      <c r="B229" s="147" t="str">
        <f t="shared" si="20"/>
        <v/>
      </c>
      <c r="C229" s="152"/>
      <c r="D229" s="147" t="str">
        <f t="shared" si="19"/>
        <v/>
      </c>
      <c r="E229" s="199"/>
      <c r="F229" s="147" t="str">
        <f t="shared" si="21"/>
        <v/>
      </c>
      <c r="G229" s="196"/>
      <c r="H229" s="196"/>
      <c r="I229" s="196"/>
      <c r="J229" s="224"/>
      <c r="K229" s="223"/>
      <c r="L229" s="223"/>
      <c r="M229" s="224"/>
      <c r="N229" s="224"/>
      <c r="P229" s="142" t="str">
        <f t="shared" si="22"/>
        <v/>
      </c>
      <c r="Q229" s="142" t="str">
        <f t="shared" si="23"/>
        <v/>
      </c>
      <c r="AA229" s="142" t="s">
        <v>1587</v>
      </c>
      <c r="AB229" s="142" t="s">
        <v>1588</v>
      </c>
    </row>
    <row r="230" spans="1:28">
      <c r="A230" s="152"/>
      <c r="B230" s="147" t="str">
        <f t="shared" si="20"/>
        <v/>
      </c>
      <c r="C230" s="152"/>
      <c r="D230" s="147" t="str">
        <f t="shared" si="19"/>
        <v/>
      </c>
      <c r="E230" s="199"/>
      <c r="F230" s="147" t="str">
        <f t="shared" si="21"/>
        <v/>
      </c>
      <c r="G230" s="196"/>
      <c r="H230" s="196"/>
      <c r="I230" s="196"/>
      <c r="J230" s="224"/>
      <c r="K230" s="223"/>
      <c r="L230" s="223"/>
      <c r="M230" s="224"/>
      <c r="N230" s="224"/>
      <c r="P230" s="142" t="str">
        <f t="shared" si="22"/>
        <v/>
      </c>
      <c r="Q230" s="142" t="str">
        <f t="shared" si="23"/>
        <v/>
      </c>
      <c r="AA230" s="142" t="s">
        <v>1589</v>
      </c>
      <c r="AB230" s="142" t="s">
        <v>1590</v>
      </c>
    </row>
    <row r="231" spans="1:28">
      <c r="A231" s="152"/>
      <c r="B231" s="147" t="str">
        <f t="shared" si="20"/>
        <v/>
      </c>
      <c r="C231" s="152"/>
      <c r="D231" s="147" t="str">
        <f t="shared" si="19"/>
        <v/>
      </c>
      <c r="E231" s="199"/>
      <c r="F231" s="147" t="str">
        <f t="shared" si="21"/>
        <v/>
      </c>
      <c r="G231" s="196"/>
      <c r="H231" s="196"/>
      <c r="I231" s="196"/>
      <c r="J231" s="224"/>
      <c r="K231" s="223"/>
      <c r="L231" s="223"/>
      <c r="M231" s="224"/>
      <c r="N231" s="224"/>
      <c r="P231" s="142" t="str">
        <f t="shared" si="22"/>
        <v/>
      </c>
      <c r="Q231" s="142" t="str">
        <f t="shared" si="23"/>
        <v/>
      </c>
      <c r="AA231" s="142" t="s">
        <v>1591</v>
      </c>
      <c r="AB231" s="142" t="s">
        <v>1592</v>
      </c>
    </row>
    <row r="232" spans="1:28">
      <c r="A232" s="152"/>
      <c r="B232" s="147" t="str">
        <f t="shared" si="20"/>
        <v/>
      </c>
      <c r="C232" s="152"/>
      <c r="D232" s="147" t="str">
        <f t="shared" si="19"/>
        <v/>
      </c>
      <c r="E232" s="199"/>
      <c r="F232" s="147" t="str">
        <f t="shared" si="21"/>
        <v/>
      </c>
      <c r="G232" s="196"/>
      <c r="H232" s="196"/>
      <c r="I232" s="196"/>
      <c r="J232" s="224"/>
      <c r="K232" s="223"/>
      <c r="L232" s="223"/>
      <c r="M232" s="224"/>
      <c r="N232" s="224"/>
      <c r="P232" s="142" t="str">
        <f t="shared" si="22"/>
        <v/>
      </c>
      <c r="Q232" s="142" t="str">
        <f t="shared" si="23"/>
        <v/>
      </c>
      <c r="AA232" s="142" t="s">
        <v>1593</v>
      </c>
      <c r="AB232" s="142" t="s">
        <v>1594</v>
      </c>
    </row>
    <row r="233" spans="1:28">
      <c r="A233" s="152"/>
      <c r="B233" s="147" t="str">
        <f t="shared" si="20"/>
        <v/>
      </c>
      <c r="C233" s="152"/>
      <c r="D233" s="147" t="str">
        <f t="shared" si="19"/>
        <v/>
      </c>
      <c r="E233" s="199"/>
      <c r="F233" s="147" t="str">
        <f t="shared" si="21"/>
        <v/>
      </c>
      <c r="G233" s="196"/>
      <c r="H233" s="196"/>
      <c r="I233" s="196"/>
      <c r="J233" s="224"/>
      <c r="K233" s="223"/>
      <c r="L233" s="223"/>
      <c r="M233" s="224"/>
      <c r="N233" s="224"/>
      <c r="P233" s="142" t="str">
        <f t="shared" si="22"/>
        <v/>
      </c>
      <c r="Q233" s="142" t="str">
        <f t="shared" si="23"/>
        <v/>
      </c>
      <c r="AA233" s="142" t="s">
        <v>1595</v>
      </c>
      <c r="AB233" s="142" t="s">
        <v>1596</v>
      </c>
    </row>
    <row r="234" spans="1:28">
      <c r="A234" s="152"/>
      <c r="B234" s="147" t="str">
        <f t="shared" si="20"/>
        <v/>
      </c>
      <c r="C234" s="152"/>
      <c r="D234" s="147" t="str">
        <f t="shared" si="19"/>
        <v/>
      </c>
      <c r="E234" s="199"/>
      <c r="F234" s="147" t="str">
        <f t="shared" si="21"/>
        <v/>
      </c>
      <c r="G234" s="196"/>
      <c r="H234" s="196"/>
      <c r="I234" s="196"/>
      <c r="J234" s="224"/>
      <c r="K234" s="223"/>
      <c r="L234" s="223"/>
      <c r="M234" s="224"/>
      <c r="N234" s="224"/>
      <c r="P234" s="142" t="str">
        <f t="shared" si="22"/>
        <v/>
      </c>
      <c r="Q234" s="142" t="str">
        <f t="shared" si="23"/>
        <v/>
      </c>
      <c r="AA234" s="142" t="s">
        <v>1626</v>
      </c>
      <c r="AB234" s="142" t="s">
        <v>1627</v>
      </c>
    </row>
    <row r="235" spans="1:28">
      <c r="A235" s="152"/>
      <c r="B235" s="147" t="str">
        <f t="shared" si="20"/>
        <v/>
      </c>
      <c r="C235" s="152"/>
      <c r="D235" s="147" t="str">
        <f t="shared" si="19"/>
        <v/>
      </c>
      <c r="E235" s="199"/>
      <c r="F235" s="147" t="str">
        <f t="shared" si="21"/>
        <v/>
      </c>
      <c r="G235" s="196"/>
      <c r="H235" s="196"/>
      <c r="I235" s="196"/>
      <c r="J235" s="224"/>
      <c r="K235" s="223"/>
      <c r="L235" s="223"/>
      <c r="M235" s="224"/>
      <c r="N235" s="224"/>
      <c r="P235" s="142" t="str">
        <f t="shared" si="22"/>
        <v/>
      </c>
      <c r="Q235" s="142" t="str">
        <f t="shared" si="23"/>
        <v/>
      </c>
      <c r="AA235" s="142" t="s">
        <v>1628</v>
      </c>
      <c r="AB235" s="142" t="s">
        <v>1629</v>
      </c>
    </row>
    <row r="236" spans="1:28">
      <c r="A236" s="152"/>
      <c r="B236" s="147" t="str">
        <f t="shared" si="20"/>
        <v/>
      </c>
      <c r="C236" s="152"/>
      <c r="D236" s="147" t="str">
        <f t="shared" si="19"/>
        <v/>
      </c>
      <c r="E236" s="199"/>
      <c r="F236" s="147" t="str">
        <f t="shared" si="21"/>
        <v/>
      </c>
      <c r="G236" s="196"/>
      <c r="H236" s="196"/>
      <c r="I236" s="196"/>
      <c r="J236" s="224"/>
      <c r="K236" s="223"/>
      <c r="L236" s="223"/>
      <c r="M236" s="224"/>
      <c r="N236" s="224"/>
      <c r="P236" s="142" t="str">
        <f t="shared" si="22"/>
        <v/>
      </c>
      <c r="Q236" s="142" t="str">
        <f t="shared" si="23"/>
        <v/>
      </c>
      <c r="AA236" s="142" t="s">
        <v>1630</v>
      </c>
      <c r="AB236" s="142" t="s">
        <v>1631</v>
      </c>
    </row>
    <row r="237" spans="1:28">
      <c r="A237" s="152"/>
      <c r="B237" s="147" t="str">
        <f t="shared" si="20"/>
        <v/>
      </c>
      <c r="C237" s="152"/>
      <c r="D237" s="147" t="str">
        <f t="shared" si="19"/>
        <v/>
      </c>
      <c r="E237" s="199"/>
      <c r="F237" s="147" t="str">
        <f t="shared" si="21"/>
        <v/>
      </c>
      <c r="G237" s="196"/>
      <c r="H237" s="196"/>
      <c r="I237" s="196"/>
      <c r="J237" s="224"/>
      <c r="K237" s="223"/>
      <c r="L237" s="223"/>
      <c r="M237" s="224"/>
      <c r="N237" s="224"/>
      <c r="P237" s="142" t="str">
        <f t="shared" si="22"/>
        <v/>
      </c>
      <c r="Q237" s="142" t="str">
        <f t="shared" si="23"/>
        <v/>
      </c>
      <c r="AA237" s="142" t="s">
        <v>1632</v>
      </c>
      <c r="AB237" s="142" t="s">
        <v>1633</v>
      </c>
    </row>
    <row r="238" spans="1:28">
      <c r="A238" s="152"/>
      <c r="B238" s="147" t="str">
        <f t="shared" si="20"/>
        <v/>
      </c>
      <c r="C238" s="152"/>
      <c r="D238" s="147" t="str">
        <f t="shared" si="19"/>
        <v/>
      </c>
      <c r="E238" s="199"/>
      <c r="F238" s="147" t="str">
        <f t="shared" si="21"/>
        <v/>
      </c>
      <c r="G238" s="196"/>
      <c r="H238" s="196"/>
      <c r="I238" s="196"/>
      <c r="J238" s="224"/>
      <c r="K238" s="223"/>
      <c r="L238" s="223"/>
      <c r="M238" s="224"/>
      <c r="N238" s="224"/>
      <c r="P238" s="142" t="str">
        <f t="shared" si="22"/>
        <v/>
      </c>
      <c r="Q238" s="142" t="str">
        <f t="shared" si="23"/>
        <v/>
      </c>
      <c r="AA238" s="142" t="s">
        <v>1634</v>
      </c>
      <c r="AB238" s="142" t="s">
        <v>1635</v>
      </c>
    </row>
    <row r="239" spans="1:28">
      <c r="A239" s="152"/>
      <c r="B239" s="147" t="str">
        <f t="shared" si="20"/>
        <v/>
      </c>
      <c r="C239" s="152"/>
      <c r="D239" s="147" t="str">
        <f t="shared" si="19"/>
        <v/>
      </c>
      <c r="E239" s="199"/>
      <c r="F239" s="147" t="str">
        <f t="shared" si="21"/>
        <v/>
      </c>
      <c r="G239" s="196"/>
      <c r="H239" s="196"/>
      <c r="I239" s="196"/>
      <c r="J239" s="224"/>
      <c r="K239" s="223"/>
      <c r="L239" s="223"/>
      <c r="M239" s="224"/>
      <c r="N239" s="224"/>
      <c r="P239" s="142" t="str">
        <f t="shared" si="22"/>
        <v/>
      </c>
      <c r="Q239" s="142" t="str">
        <f t="shared" si="23"/>
        <v/>
      </c>
      <c r="AA239" s="142" t="s">
        <v>1636</v>
      </c>
      <c r="AB239" s="142" t="s">
        <v>1637</v>
      </c>
    </row>
    <row r="240" spans="1:28">
      <c r="A240" s="152"/>
      <c r="B240" s="147" t="str">
        <f t="shared" si="20"/>
        <v/>
      </c>
      <c r="C240" s="152"/>
      <c r="D240" s="147" t="str">
        <f t="shared" si="19"/>
        <v/>
      </c>
      <c r="E240" s="199"/>
      <c r="F240" s="147" t="str">
        <f t="shared" si="21"/>
        <v/>
      </c>
      <c r="G240" s="196"/>
      <c r="H240" s="196"/>
      <c r="I240" s="196"/>
      <c r="J240" s="224"/>
      <c r="K240" s="223"/>
      <c r="L240" s="223"/>
      <c r="M240" s="224"/>
      <c r="N240" s="224"/>
      <c r="P240" s="142" t="str">
        <f t="shared" si="22"/>
        <v/>
      </c>
      <c r="Q240" s="142" t="str">
        <f t="shared" si="23"/>
        <v/>
      </c>
    </row>
    <row r="241" spans="1:17">
      <c r="A241" s="152"/>
      <c r="B241" s="147" t="str">
        <f t="shared" si="20"/>
        <v/>
      </c>
      <c r="C241" s="152"/>
      <c r="D241" s="147" t="str">
        <f t="shared" si="19"/>
        <v/>
      </c>
      <c r="E241" s="199"/>
      <c r="F241" s="147" t="str">
        <f t="shared" si="21"/>
        <v/>
      </c>
      <c r="G241" s="196"/>
      <c r="H241" s="196"/>
      <c r="I241" s="196"/>
      <c r="J241" s="224"/>
      <c r="K241" s="223"/>
      <c r="L241" s="223"/>
      <c r="M241" s="224"/>
      <c r="N241" s="224"/>
      <c r="P241" s="142" t="str">
        <f t="shared" si="22"/>
        <v/>
      </c>
      <c r="Q241" s="142" t="str">
        <f t="shared" si="23"/>
        <v/>
      </c>
    </row>
    <row r="242" spans="1:17">
      <c r="A242" s="152"/>
      <c r="B242" s="147" t="str">
        <f t="shared" si="20"/>
        <v/>
      </c>
      <c r="C242" s="152"/>
      <c r="D242" s="147" t="str">
        <f t="shared" si="19"/>
        <v/>
      </c>
      <c r="E242" s="199"/>
      <c r="F242" s="147" t="str">
        <f t="shared" si="21"/>
        <v/>
      </c>
      <c r="G242" s="196"/>
      <c r="H242" s="196"/>
      <c r="I242" s="196"/>
      <c r="J242" s="224"/>
      <c r="K242" s="223"/>
      <c r="L242" s="223"/>
      <c r="M242" s="224"/>
      <c r="N242" s="224"/>
      <c r="P242" s="142" t="str">
        <f t="shared" si="22"/>
        <v/>
      </c>
      <c r="Q242" s="142" t="str">
        <f t="shared" si="23"/>
        <v/>
      </c>
    </row>
    <row r="243" spans="1:17">
      <c r="A243" s="152"/>
      <c r="B243" s="147" t="str">
        <f t="shared" si="20"/>
        <v/>
      </c>
      <c r="C243" s="152"/>
      <c r="D243" s="147" t="str">
        <f t="shared" si="19"/>
        <v/>
      </c>
      <c r="E243" s="199"/>
      <c r="F243" s="147" t="str">
        <f t="shared" si="21"/>
        <v/>
      </c>
      <c r="G243" s="196"/>
      <c r="H243" s="196"/>
      <c r="I243" s="196"/>
      <c r="J243" s="224"/>
      <c r="K243" s="223"/>
      <c r="L243" s="223"/>
      <c r="M243" s="224"/>
      <c r="N243" s="224"/>
      <c r="P243" s="142" t="str">
        <f t="shared" si="22"/>
        <v/>
      </c>
      <c r="Q243" s="142" t="str">
        <f t="shared" si="23"/>
        <v/>
      </c>
    </row>
    <row r="244" spans="1:17">
      <c r="A244" s="152"/>
      <c r="B244" s="147" t="str">
        <f t="shared" si="20"/>
        <v/>
      </c>
      <c r="C244" s="152"/>
      <c r="D244" s="147" t="str">
        <f t="shared" si="19"/>
        <v/>
      </c>
      <c r="E244" s="199"/>
      <c r="F244" s="147" t="str">
        <f t="shared" si="21"/>
        <v/>
      </c>
      <c r="G244" s="196"/>
      <c r="H244" s="196"/>
      <c r="I244" s="196"/>
      <c r="J244" s="224"/>
      <c r="K244" s="223"/>
      <c r="L244" s="223"/>
      <c r="M244" s="224"/>
      <c r="N244" s="224"/>
      <c r="P244" s="142" t="str">
        <f t="shared" si="22"/>
        <v/>
      </c>
      <c r="Q244" s="142" t="str">
        <f t="shared" si="23"/>
        <v/>
      </c>
    </row>
    <row r="245" spans="1:17">
      <c r="A245" s="152"/>
      <c r="B245" s="147" t="str">
        <f t="shared" si="20"/>
        <v/>
      </c>
      <c r="C245" s="152"/>
      <c r="D245" s="147" t="str">
        <f t="shared" si="19"/>
        <v/>
      </c>
      <c r="E245" s="199"/>
      <c r="F245" s="147" t="str">
        <f t="shared" si="21"/>
        <v/>
      </c>
      <c r="G245" s="196"/>
      <c r="H245" s="196"/>
      <c r="I245" s="196"/>
      <c r="J245" s="224"/>
      <c r="K245" s="223"/>
      <c r="L245" s="223"/>
      <c r="M245" s="224"/>
      <c r="N245" s="224"/>
      <c r="P245" s="142" t="str">
        <f t="shared" si="22"/>
        <v/>
      </c>
      <c r="Q245" s="142" t="str">
        <f t="shared" si="23"/>
        <v/>
      </c>
    </row>
    <row r="246" spans="1:17">
      <c r="A246" s="152"/>
      <c r="B246" s="147" t="str">
        <f t="shared" si="20"/>
        <v/>
      </c>
      <c r="C246" s="152"/>
      <c r="D246" s="147" t="str">
        <f t="shared" si="19"/>
        <v/>
      </c>
      <c r="E246" s="199"/>
      <c r="F246" s="147" t="str">
        <f t="shared" si="21"/>
        <v/>
      </c>
      <c r="G246" s="196"/>
      <c r="H246" s="196"/>
      <c r="I246" s="196"/>
      <c r="J246" s="224"/>
      <c r="K246" s="223"/>
      <c r="L246" s="223"/>
      <c r="M246" s="224"/>
      <c r="N246" s="224"/>
      <c r="P246" s="142" t="str">
        <f t="shared" si="22"/>
        <v/>
      </c>
      <c r="Q246" s="142" t="str">
        <f t="shared" si="23"/>
        <v/>
      </c>
    </row>
    <row r="247" spans="1:17">
      <c r="A247" s="152"/>
      <c r="B247" s="147" t="str">
        <f t="shared" si="20"/>
        <v/>
      </c>
      <c r="C247" s="152"/>
      <c r="D247" s="147" t="str">
        <f t="shared" si="19"/>
        <v/>
      </c>
      <c r="E247" s="199"/>
      <c r="F247" s="147" t="str">
        <f t="shared" si="21"/>
        <v/>
      </c>
      <c r="G247" s="196"/>
      <c r="H247" s="196"/>
      <c r="I247" s="196"/>
      <c r="J247" s="224"/>
      <c r="K247" s="223"/>
      <c r="L247" s="223"/>
      <c r="M247" s="224"/>
      <c r="N247" s="224"/>
      <c r="P247" s="142" t="str">
        <f t="shared" si="22"/>
        <v/>
      </c>
      <c r="Q247" s="142" t="str">
        <f t="shared" si="23"/>
        <v/>
      </c>
    </row>
    <row r="248" spans="1:17">
      <c r="A248" s="152"/>
      <c r="B248" s="147" t="str">
        <f t="shared" si="20"/>
        <v/>
      </c>
      <c r="C248" s="152"/>
      <c r="D248" s="147" t="str">
        <f t="shared" si="19"/>
        <v/>
      </c>
      <c r="E248" s="199"/>
      <c r="F248" s="147" t="str">
        <f t="shared" si="21"/>
        <v/>
      </c>
      <c r="G248" s="196"/>
      <c r="H248" s="196"/>
      <c r="I248" s="196"/>
      <c r="J248" s="224"/>
      <c r="K248" s="223"/>
      <c r="L248" s="223"/>
      <c r="M248" s="224"/>
      <c r="N248" s="224"/>
      <c r="P248" s="142" t="str">
        <f t="shared" si="22"/>
        <v/>
      </c>
      <c r="Q248" s="142" t="str">
        <f t="shared" si="23"/>
        <v/>
      </c>
    </row>
    <row r="249" spans="1:17">
      <c r="A249" s="152"/>
      <c r="B249" s="147" t="str">
        <f t="shared" si="20"/>
        <v/>
      </c>
      <c r="C249" s="152"/>
      <c r="D249" s="147" t="str">
        <f t="shared" si="19"/>
        <v/>
      </c>
      <c r="E249" s="199"/>
      <c r="F249" s="147" t="str">
        <f t="shared" si="21"/>
        <v/>
      </c>
      <c r="G249" s="196"/>
      <c r="H249" s="196"/>
      <c r="I249" s="196"/>
      <c r="J249" s="224"/>
      <c r="K249" s="223"/>
      <c r="L249" s="223"/>
      <c r="M249" s="224"/>
      <c r="N249" s="224"/>
      <c r="P249" s="142" t="str">
        <f t="shared" si="22"/>
        <v/>
      </c>
      <c r="Q249" s="142" t="str">
        <f t="shared" si="23"/>
        <v/>
      </c>
    </row>
    <row r="250" spans="1:17">
      <c r="A250" s="152"/>
      <c r="B250" s="147" t="str">
        <f t="shared" si="20"/>
        <v/>
      </c>
      <c r="C250" s="152"/>
      <c r="D250" s="147" t="str">
        <f t="shared" si="19"/>
        <v/>
      </c>
      <c r="E250" s="199"/>
      <c r="F250" s="147" t="str">
        <f t="shared" si="21"/>
        <v/>
      </c>
      <c r="G250" s="196"/>
      <c r="H250" s="196"/>
      <c r="I250" s="196"/>
      <c r="J250" s="224"/>
      <c r="K250" s="223"/>
      <c r="L250" s="223"/>
      <c r="M250" s="224"/>
      <c r="N250" s="224"/>
      <c r="P250" s="142" t="str">
        <f t="shared" si="22"/>
        <v/>
      </c>
      <c r="Q250" s="142" t="str">
        <f t="shared" si="23"/>
        <v/>
      </c>
    </row>
    <row r="251" spans="1:17">
      <c r="A251" s="152"/>
      <c r="B251" s="147" t="str">
        <f t="shared" si="20"/>
        <v/>
      </c>
      <c r="C251" s="152"/>
      <c r="D251" s="147" t="str">
        <f t="shared" si="19"/>
        <v/>
      </c>
      <c r="E251" s="199"/>
      <c r="F251" s="147" t="str">
        <f t="shared" si="21"/>
        <v/>
      </c>
      <c r="G251" s="196"/>
      <c r="H251" s="196"/>
      <c r="I251" s="196"/>
      <c r="J251" s="224"/>
      <c r="K251" s="223"/>
      <c r="L251" s="223"/>
      <c r="M251" s="224"/>
      <c r="N251" s="224"/>
      <c r="P251" s="142" t="str">
        <f t="shared" si="22"/>
        <v/>
      </c>
      <c r="Q251" s="142" t="str">
        <f t="shared" si="23"/>
        <v/>
      </c>
    </row>
    <row r="252" spans="1:17">
      <c r="A252" s="152"/>
      <c r="B252" s="147" t="str">
        <f t="shared" si="20"/>
        <v/>
      </c>
      <c r="C252" s="152"/>
      <c r="D252" s="147" t="str">
        <f t="shared" si="19"/>
        <v/>
      </c>
      <c r="E252" s="199"/>
      <c r="F252" s="147" t="str">
        <f t="shared" si="21"/>
        <v/>
      </c>
      <c r="G252" s="196"/>
      <c r="H252" s="196"/>
      <c r="I252" s="196"/>
      <c r="J252" s="224"/>
      <c r="K252" s="223"/>
      <c r="L252" s="223"/>
      <c r="M252" s="224"/>
      <c r="N252" s="224"/>
      <c r="P252" s="142" t="str">
        <f t="shared" si="22"/>
        <v/>
      </c>
      <c r="Q252" s="142" t="str">
        <f t="shared" si="23"/>
        <v/>
      </c>
    </row>
    <row r="253" spans="1:17">
      <c r="A253" s="152"/>
      <c r="B253" s="147" t="str">
        <f t="shared" si="20"/>
        <v/>
      </c>
      <c r="C253" s="152"/>
      <c r="D253" s="147" t="str">
        <f t="shared" si="19"/>
        <v/>
      </c>
      <c r="E253" s="199"/>
      <c r="F253" s="147" t="str">
        <f t="shared" si="21"/>
        <v/>
      </c>
      <c r="G253" s="196"/>
      <c r="H253" s="196"/>
      <c r="I253" s="196"/>
      <c r="J253" s="224"/>
      <c r="K253" s="223"/>
      <c r="L253" s="223"/>
      <c r="M253" s="224"/>
      <c r="N253" s="224"/>
      <c r="P253" s="142" t="str">
        <f t="shared" si="22"/>
        <v/>
      </c>
      <c r="Q253" s="142" t="str">
        <f t="shared" si="23"/>
        <v/>
      </c>
    </row>
    <row r="254" spans="1:17">
      <c r="A254" s="152"/>
      <c r="B254" s="147" t="str">
        <f t="shared" si="20"/>
        <v/>
      </c>
      <c r="C254" s="152"/>
      <c r="D254" s="147" t="str">
        <f t="shared" si="19"/>
        <v/>
      </c>
      <c r="E254" s="199"/>
      <c r="F254" s="147" t="str">
        <f t="shared" si="21"/>
        <v/>
      </c>
      <c r="G254" s="196"/>
      <c r="H254" s="196"/>
      <c r="I254" s="196"/>
      <c r="J254" s="224"/>
      <c r="K254" s="223"/>
      <c r="L254" s="223"/>
      <c r="M254" s="224"/>
      <c r="N254" s="224"/>
      <c r="P254" s="142" t="str">
        <f t="shared" si="22"/>
        <v/>
      </c>
      <c r="Q254" s="142" t="str">
        <f t="shared" si="23"/>
        <v/>
      </c>
    </row>
    <row r="255" spans="1:17">
      <c r="A255" s="152"/>
      <c r="B255" s="147" t="str">
        <f t="shared" si="20"/>
        <v/>
      </c>
      <c r="C255" s="152"/>
      <c r="D255" s="147" t="str">
        <f t="shared" si="19"/>
        <v/>
      </c>
      <c r="E255" s="199"/>
      <c r="F255" s="147" t="str">
        <f t="shared" si="21"/>
        <v/>
      </c>
      <c r="G255" s="196"/>
      <c r="H255" s="196"/>
      <c r="I255" s="196"/>
      <c r="J255" s="224"/>
      <c r="K255" s="223"/>
      <c r="L255" s="223"/>
      <c r="M255" s="224"/>
      <c r="N255" s="224"/>
      <c r="P255" s="142" t="str">
        <f t="shared" si="22"/>
        <v/>
      </c>
      <c r="Q255" s="142" t="str">
        <f t="shared" si="23"/>
        <v/>
      </c>
    </row>
    <row r="256" spans="1:17">
      <c r="A256" s="152"/>
      <c r="B256" s="147" t="str">
        <f t="shared" si="20"/>
        <v/>
      </c>
      <c r="C256" s="152"/>
      <c r="D256" s="147" t="str">
        <f t="shared" si="19"/>
        <v/>
      </c>
      <c r="E256" s="199"/>
      <c r="F256" s="147" t="str">
        <f t="shared" si="21"/>
        <v/>
      </c>
      <c r="G256" s="196"/>
      <c r="H256" s="196"/>
      <c r="I256" s="196"/>
      <c r="J256" s="224"/>
      <c r="K256" s="223"/>
      <c r="L256" s="223"/>
      <c r="M256" s="224"/>
      <c r="N256" s="224"/>
      <c r="P256" s="142" t="str">
        <f t="shared" si="22"/>
        <v/>
      </c>
      <c r="Q256" s="142" t="str">
        <f t="shared" si="23"/>
        <v/>
      </c>
    </row>
    <row r="257" spans="1:17">
      <c r="A257" s="152"/>
      <c r="B257" s="147" t="str">
        <f t="shared" si="20"/>
        <v/>
      </c>
      <c r="C257" s="152"/>
      <c r="D257" s="147" t="str">
        <f t="shared" si="19"/>
        <v/>
      </c>
      <c r="E257" s="199"/>
      <c r="F257" s="147" t="str">
        <f t="shared" si="21"/>
        <v/>
      </c>
      <c r="G257" s="196"/>
      <c r="H257" s="196"/>
      <c r="I257" s="196"/>
      <c r="J257" s="224"/>
      <c r="K257" s="223"/>
      <c r="L257" s="223"/>
      <c r="M257" s="224"/>
      <c r="N257" s="224"/>
      <c r="P257" s="142" t="str">
        <f t="shared" si="22"/>
        <v/>
      </c>
      <c r="Q257" s="142" t="str">
        <f t="shared" si="23"/>
        <v/>
      </c>
    </row>
    <row r="258" spans="1:17">
      <c r="A258" s="152"/>
      <c r="B258" s="147" t="str">
        <f t="shared" si="20"/>
        <v/>
      </c>
      <c r="C258" s="152"/>
      <c r="D258" s="147" t="str">
        <f t="shared" si="19"/>
        <v/>
      </c>
      <c r="E258" s="199"/>
      <c r="F258" s="147" t="str">
        <f t="shared" si="21"/>
        <v/>
      </c>
      <c r="G258" s="196"/>
      <c r="H258" s="196"/>
      <c r="I258" s="196"/>
      <c r="J258" s="224"/>
      <c r="K258" s="223"/>
      <c r="L258" s="223"/>
      <c r="M258" s="224"/>
      <c r="N258" s="224"/>
      <c r="P258" s="142" t="str">
        <f t="shared" si="22"/>
        <v/>
      </c>
      <c r="Q258" s="142" t="str">
        <f t="shared" si="23"/>
        <v/>
      </c>
    </row>
    <row r="259" spans="1:17">
      <c r="A259" s="152"/>
      <c r="B259" s="147" t="str">
        <f t="shared" si="20"/>
        <v/>
      </c>
      <c r="C259" s="152"/>
      <c r="D259" s="147" t="str">
        <f t="shared" ref="D259:D322" si="24">IFERROR(VLOOKUP(C259,$U$5:$W$129,2,FALSE),"")</f>
        <v/>
      </c>
      <c r="E259" s="199"/>
      <c r="F259" s="147" t="str">
        <f t="shared" si="21"/>
        <v/>
      </c>
      <c r="G259" s="196"/>
      <c r="H259" s="196"/>
      <c r="I259" s="196"/>
      <c r="J259" s="224"/>
      <c r="K259" s="223"/>
      <c r="L259" s="223"/>
      <c r="M259" s="224"/>
      <c r="N259" s="224"/>
      <c r="P259" s="142" t="str">
        <f t="shared" si="22"/>
        <v/>
      </c>
      <c r="Q259" s="142" t="str">
        <f t="shared" si="23"/>
        <v/>
      </c>
    </row>
    <row r="260" spans="1:17">
      <c r="A260" s="152"/>
      <c r="B260" s="147" t="str">
        <f t="shared" ref="B260:B323" si="25">IFERROR(VLOOKUP(A260,$R$6:$S$22,2,FALSE),"")</f>
        <v/>
      </c>
      <c r="C260" s="152"/>
      <c r="D260" s="147" t="str">
        <f t="shared" si="24"/>
        <v/>
      </c>
      <c r="E260" s="199"/>
      <c r="F260" s="147" t="str">
        <f t="shared" ref="F260:F323" si="26">IFERROR(VLOOKUP(E260,$AA$6:$AB$239,2,FALSE),"")</f>
        <v/>
      </c>
      <c r="G260" s="196"/>
      <c r="H260" s="196"/>
      <c r="I260" s="196"/>
      <c r="J260" s="224"/>
      <c r="K260" s="223"/>
      <c r="L260" s="223"/>
      <c r="M260" s="224"/>
      <c r="N260" s="224"/>
      <c r="P260" s="142" t="str">
        <f t="shared" ref="P260:P323" si="27">LEFT(C260,3)</f>
        <v/>
      </c>
      <c r="Q260" s="142" t="str">
        <f t="shared" ref="Q260:Q323" si="28">LEFT(C260,2)</f>
        <v/>
      </c>
    </row>
    <row r="261" spans="1:17">
      <c r="A261" s="152"/>
      <c r="B261" s="147" t="str">
        <f t="shared" si="25"/>
        <v/>
      </c>
      <c r="C261" s="152"/>
      <c r="D261" s="147" t="str">
        <f t="shared" si="24"/>
        <v/>
      </c>
      <c r="E261" s="199"/>
      <c r="F261" s="147" t="str">
        <f t="shared" si="26"/>
        <v/>
      </c>
      <c r="G261" s="196"/>
      <c r="H261" s="196"/>
      <c r="I261" s="196"/>
      <c r="J261" s="224"/>
      <c r="K261" s="223"/>
      <c r="L261" s="223"/>
      <c r="M261" s="224"/>
      <c r="N261" s="224"/>
      <c r="P261" s="142" t="str">
        <f t="shared" si="27"/>
        <v/>
      </c>
      <c r="Q261" s="142" t="str">
        <f t="shared" si="28"/>
        <v/>
      </c>
    </row>
    <row r="262" spans="1:17">
      <c r="A262" s="152"/>
      <c r="B262" s="147" t="str">
        <f t="shared" si="25"/>
        <v/>
      </c>
      <c r="C262" s="152"/>
      <c r="D262" s="147" t="str">
        <f t="shared" si="24"/>
        <v/>
      </c>
      <c r="E262" s="199"/>
      <c r="F262" s="147" t="str">
        <f t="shared" si="26"/>
        <v/>
      </c>
      <c r="G262" s="196"/>
      <c r="H262" s="196"/>
      <c r="I262" s="196"/>
      <c r="J262" s="224"/>
      <c r="K262" s="223"/>
      <c r="L262" s="223"/>
      <c r="M262" s="224"/>
      <c r="N262" s="224"/>
      <c r="P262" s="142" t="str">
        <f t="shared" si="27"/>
        <v/>
      </c>
      <c r="Q262" s="142" t="str">
        <f t="shared" si="28"/>
        <v/>
      </c>
    </row>
    <row r="263" spans="1:17">
      <c r="A263" s="152"/>
      <c r="B263" s="147" t="str">
        <f t="shared" si="25"/>
        <v/>
      </c>
      <c r="C263" s="152"/>
      <c r="D263" s="147" t="str">
        <f t="shared" si="24"/>
        <v/>
      </c>
      <c r="E263" s="199"/>
      <c r="F263" s="147" t="str">
        <f t="shared" si="26"/>
        <v/>
      </c>
      <c r="G263" s="196"/>
      <c r="H263" s="196"/>
      <c r="I263" s="196"/>
      <c r="J263" s="224"/>
      <c r="K263" s="223"/>
      <c r="L263" s="223"/>
      <c r="M263" s="224"/>
      <c r="N263" s="224"/>
      <c r="P263" s="142" t="str">
        <f t="shared" si="27"/>
        <v/>
      </c>
      <c r="Q263" s="142" t="str">
        <f t="shared" si="28"/>
        <v/>
      </c>
    </row>
    <row r="264" spans="1:17">
      <c r="A264" s="152"/>
      <c r="B264" s="147" t="str">
        <f t="shared" si="25"/>
        <v/>
      </c>
      <c r="C264" s="152"/>
      <c r="D264" s="147" t="str">
        <f t="shared" si="24"/>
        <v/>
      </c>
      <c r="E264" s="199"/>
      <c r="F264" s="147" t="str">
        <f t="shared" si="26"/>
        <v/>
      </c>
      <c r="G264" s="196"/>
      <c r="H264" s="196"/>
      <c r="I264" s="196"/>
      <c r="J264" s="224"/>
      <c r="K264" s="223"/>
      <c r="L264" s="223"/>
      <c r="M264" s="224"/>
      <c r="N264" s="224"/>
      <c r="P264" s="142" t="str">
        <f t="shared" si="27"/>
        <v/>
      </c>
      <c r="Q264" s="142" t="str">
        <f t="shared" si="28"/>
        <v/>
      </c>
    </row>
    <row r="265" spans="1:17">
      <c r="A265" s="152"/>
      <c r="B265" s="147" t="str">
        <f t="shared" si="25"/>
        <v/>
      </c>
      <c r="C265" s="152"/>
      <c r="D265" s="147" t="str">
        <f t="shared" si="24"/>
        <v/>
      </c>
      <c r="E265" s="199"/>
      <c r="F265" s="147" t="str">
        <f t="shared" si="26"/>
        <v/>
      </c>
      <c r="G265" s="196"/>
      <c r="H265" s="196"/>
      <c r="I265" s="196"/>
      <c r="J265" s="224"/>
      <c r="K265" s="223"/>
      <c r="L265" s="223"/>
      <c r="M265" s="224"/>
      <c r="N265" s="224"/>
      <c r="P265" s="142" t="str">
        <f t="shared" si="27"/>
        <v/>
      </c>
      <c r="Q265" s="142" t="str">
        <f t="shared" si="28"/>
        <v/>
      </c>
    </row>
    <row r="266" spans="1:17">
      <c r="A266" s="152"/>
      <c r="B266" s="147" t="str">
        <f t="shared" si="25"/>
        <v/>
      </c>
      <c r="C266" s="152"/>
      <c r="D266" s="147" t="str">
        <f t="shared" si="24"/>
        <v/>
      </c>
      <c r="E266" s="199"/>
      <c r="F266" s="147" t="str">
        <f t="shared" si="26"/>
        <v/>
      </c>
      <c r="G266" s="196"/>
      <c r="H266" s="196"/>
      <c r="I266" s="196"/>
      <c r="J266" s="224"/>
      <c r="K266" s="223"/>
      <c r="L266" s="223"/>
      <c r="M266" s="224"/>
      <c r="N266" s="224"/>
      <c r="P266" s="142" t="str">
        <f t="shared" si="27"/>
        <v/>
      </c>
      <c r="Q266" s="142" t="str">
        <f t="shared" si="28"/>
        <v/>
      </c>
    </row>
    <row r="267" spans="1:17">
      <c r="A267" s="152"/>
      <c r="B267" s="147" t="str">
        <f t="shared" si="25"/>
        <v/>
      </c>
      <c r="C267" s="152"/>
      <c r="D267" s="147" t="str">
        <f t="shared" si="24"/>
        <v/>
      </c>
      <c r="E267" s="199"/>
      <c r="F267" s="147" t="str">
        <f t="shared" si="26"/>
        <v/>
      </c>
      <c r="G267" s="196"/>
      <c r="H267" s="196"/>
      <c r="I267" s="196"/>
      <c r="J267" s="224"/>
      <c r="K267" s="223"/>
      <c r="L267" s="223"/>
      <c r="M267" s="224"/>
      <c r="N267" s="224"/>
      <c r="P267" s="142" t="str">
        <f t="shared" si="27"/>
        <v/>
      </c>
      <c r="Q267" s="142" t="str">
        <f t="shared" si="28"/>
        <v/>
      </c>
    </row>
    <row r="268" spans="1:17">
      <c r="A268" s="152"/>
      <c r="B268" s="147" t="str">
        <f t="shared" si="25"/>
        <v/>
      </c>
      <c r="C268" s="152"/>
      <c r="D268" s="147" t="str">
        <f t="shared" si="24"/>
        <v/>
      </c>
      <c r="E268" s="199"/>
      <c r="F268" s="147" t="str">
        <f t="shared" si="26"/>
        <v/>
      </c>
      <c r="G268" s="196"/>
      <c r="H268" s="196"/>
      <c r="I268" s="196"/>
      <c r="J268" s="224"/>
      <c r="K268" s="223"/>
      <c r="L268" s="223"/>
      <c r="M268" s="224"/>
      <c r="N268" s="224"/>
      <c r="P268" s="142" t="str">
        <f t="shared" si="27"/>
        <v/>
      </c>
      <c r="Q268" s="142" t="str">
        <f t="shared" si="28"/>
        <v/>
      </c>
    </row>
    <row r="269" spans="1:17">
      <c r="A269" s="152"/>
      <c r="B269" s="147" t="str">
        <f t="shared" si="25"/>
        <v/>
      </c>
      <c r="C269" s="152"/>
      <c r="D269" s="147" t="str">
        <f t="shared" si="24"/>
        <v/>
      </c>
      <c r="E269" s="199"/>
      <c r="F269" s="147" t="str">
        <f t="shared" si="26"/>
        <v/>
      </c>
      <c r="G269" s="196"/>
      <c r="H269" s="196"/>
      <c r="I269" s="196"/>
      <c r="J269" s="224"/>
      <c r="K269" s="223"/>
      <c r="L269" s="223"/>
      <c r="M269" s="224"/>
      <c r="N269" s="224"/>
      <c r="P269" s="142" t="str">
        <f t="shared" si="27"/>
        <v/>
      </c>
      <c r="Q269" s="142" t="str">
        <f t="shared" si="28"/>
        <v/>
      </c>
    </row>
    <row r="270" spans="1:17">
      <c r="A270" s="152"/>
      <c r="B270" s="147" t="str">
        <f t="shared" si="25"/>
        <v/>
      </c>
      <c r="C270" s="152"/>
      <c r="D270" s="147" t="str">
        <f t="shared" si="24"/>
        <v/>
      </c>
      <c r="E270" s="199"/>
      <c r="F270" s="147" t="str">
        <f t="shared" si="26"/>
        <v/>
      </c>
      <c r="G270" s="196"/>
      <c r="H270" s="196"/>
      <c r="I270" s="196"/>
      <c r="J270" s="224"/>
      <c r="K270" s="223"/>
      <c r="L270" s="223"/>
      <c r="M270" s="224"/>
      <c r="N270" s="224"/>
      <c r="P270" s="142" t="str">
        <f t="shared" si="27"/>
        <v/>
      </c>
      <c r="Q270" s="142" t="str">
        <f t="shared" si="28"/>
        <v/>
      </c>
    </row>
    <row r="271" spans="1:17">
      <c r="A271" s="152"/>
      <c r="B271" s="147" t="str">
        <f t="shared" si="25"/>
        <v/>
      </c>
      <c r="C271" s="152"/>
      <c r="D271" s="147" t="str">
        <f t="shared" si="24"/>
        <v/>
      </c>
      <c r="E271" s="199"/>
      <c r="F271" s="147" t="str">
        <f t="shared" si="26"/>
        <v/>
      </c>
      <c r="G271" s="196"/>
      <c r="H271" s="196"/>
      <c r="I271" s="196"/>
      <c r="J271" s="224"/>
      <c r="K271" s="223"/>
      <c r="L271" s="223"/>
      <c r="M271" s="224"/>
      <c r="N271" s="224"/>
      <c r="P271" s="142" t="str">
        <f t="shared" si="27"/>
        <v/>
      </c>
      <c r="Q271" s="142" t="str">
        <f t="shared" si="28"/>
        <v/>
      </c>
    </row>
    <row r="272" spans="1:17">
      <c r="A272" s="152"/>
      <c r="B272" s="147" t="str">
        <f t="shared" si="25"/>
        <v/>
      </c>
      <c r="C272" s="152"/>
      <c r="D272" s="147" t="str">
        <f t="shared" si="24"/>
        <v/>
      </c>
      <c r="E272" s="199"/>
      <c r="F272" s="147" t="str">
        <f t="shared" si="26"/>
        <v/>
      </c>
      <c r="G272" s="196"/>
      <c r="H272" s="196"/>
      <c r="I272" s="196"/>
      <c r="J272" s="224"/>
      <c r="K272" s="223"/>
      <c r="L272" s="223"/>
      <c r="M272" s="224"/>
      <c r="N272" s="224"/>
      <c r="P272" s="142" t="str">
        <f t="shared" si="27"/>
        <v/>
      </c>
      <c r="Q272" s="142" t="str">
        <f t="shared" si="28"/>
        <v/>
      </c>
    </row>
    <row r="273" spans="1:17">
      <c r="A273" s="152"/>
      <c r="B273" s="147" t="str">
        <f t="shared" si="25"/>
        <v/>
      </c>
      <c r="C273" s="152"/>
      <c r="D273" s="147" t="str">
        <f t="shared" si="24"/>
        <v/>
      </c>
      <c r="E273" s="199"/>
      <c r="F273" s="147" t="str">
        <f t="shared" si="26"/>
        <v/>
      </c>
      <c r="G273" s="196"/>
      <c r="H273" s="196"/>
      <c r="I273" s="196"/>
      <c r="J273" s="224"/>
      <c r="K273" s="223"/>
      <c r="L273" s="223"/>
      <c r="M273" s="224"/>
      <c r="N273" s="224"/>
      <c r="P273" s="142" t="str">
        <f t="shared" si="27"/>
        <v/>
      </c>
      <c r="Q273" s="142" t="str">
        <f t="shared" si="28"/>
        <v/>
      </c>
    </row>
    <row r="274" spans="1:17">
      <c r="A274" s="152"/>
      <c r="B274" s="147" t="str">
        <f t="shared" si="25"/>
        <v/>
      </c>
      <c r="C274" s="152"/>
      <c r="D274" s="147" t="str">
        <f t="shared" si="24"/>
        <v/>
      </c>
      <c r="E274" s="199"/>
      <c r="F274" s="147" t="str">
        <f t="shared" si="26"/>
        <v/>
      </c>
      <c r="G274" s="196"/>
      <c r="H274" s="196"/>
      <c r="I274" s="196"/>
      <c r="J274" s="224"/>
      <c r="K274" s="223"/>
      <c r="L274" s="223"/>
      <c r="M274" s="224"/>
      <c r="N274" s="224"/>
      <c r="P274" s="142" t="str">
        <f t="shared" si="27"/>
        <v/>
      </c>
      <c r="Q274" s="142" t="str">
        <f t="shared" si="28"/>
        <v/>
      </c>
    </row>
    <row r="275" spans="1:17">
      <c r="A275" s="152"/>
      <c r="B275" s="147" t="str">
        <f t="shared" si="25"/>
        <v/>
      </c>
      <c r="C275" s="152"/>
      <c r="D275" s="147" t="str">
        <f t="shared" si="24"/>
        <v/>
      </c>
      <c r="E275" s="199"/>
      <c r="F275" s="147" t="str">
        <f t="shared" si="26"/>
        <v/>
      </c>
      <c r="G275" s="196"/>
      <c r="H275" s="196"/>
      <c r="I275" s="196"/>
      <c r="J275" s="224"/>
      <c r="K275" s="223"/>
      <c r="L275" s="223"/>
      <c r="M275" s="224"/>
      <c r="N275" s="224"/>
      <c r="P275" s="142" t="str">
        <f t="shared" si="27"/>
        <v/>
      </c>
      <c r="Q275" s="142" t="str">
        <f t="shared" si="28"/>
        <v/>
      </c>
    </row>
    <row r="276" spans="1:17">
      <c r="A276" s="152"/>
      <c r="B276" s="147" t="str">
        <f t="shared" si="25"/>
        <v/>
      </c>
      <c r="C276" s="152"/>
      <c r="D276" s="147" t="str">
        <f t="shared" si="24"/>
        <v/>
      </c>
      <c r="E276" s="199"/>
      <c r="F276" s="147" t="str">
        <f t="shared" si="26"/>
        <v/>
      </c>
      <c r="G276" s="196"/>
      <c r="H276" s="196"/>
      <c r="I276" s="196"/>
      <c r="J276" s="224"/>
      <c r="K276" s="223"/>
      <c r="L276" s="223"/>
      <c r="M276" s="224"/>
      <c r="N276" s="224"/>
      <c r="P276" s="142" t="str">
        <f t="shared" si="27"/>
        <v/>
      </c>
      <c r="Q276" s="142" t="str">
        <f t="shared" si="28"/>
        <v/>
      </c>
    </row>
    <row r="277" spans="1:17">
      <c r="A277" s="152"/>
      <c r="B277" s="147" t="str">
        <f t="shared" si="25"/>
        <v/>
      </c>
      <c r="C277" s="152"/>
      <c r="D277" s="147" t="str">
        <f t="shared" si="24"/>
        <v/>
      </c>
      <c r="E277" s="199"/>
      <c r="F277" s="147" t="str">
        <f t="shared" si="26"/>
        <v/>
      </c>
      <c r="G277" s="196"/>
      <c r="H277" s="196"/>
      <c r="I277" s="196"/>
      <c r="J277" s="224"/>
      <c r="K277" s="223"/>
      <c r="L277" s="223"/>
      <c r="M277" s="224"/>
      <c r="N277" s="224"/>
      <c r="P277" s="142" t="str">
        <f t="shared" si="27"/>
        <v/>
      </c>
      <c r="Q277" s="142" t="str">
        <f t="shared" si="28"/>
        <v/>
      </c>
    </row>
    <row r="278" spans="1:17">
      <c r="A278" s="152"/>
      <c r="B278" s="147" t="str">
        <f t="shared" si="25"/>
        <v/>
      </c>
      <c r="C278" s="152"/>
      <c r="D278" s="147" t="str">
        <f t="shared" si="24"/>
        <v/>
      </c>
      <c r="E278" s="199"/>
      <c r="F278" s="147" t="str">
        <f t="shared" si="26"/>
        <v/>
      </c>
      <c r="G278" s="196"/>
      <c r="H278" s="196"/>
      <c r="I278" s="196"/>
      <c r="J278" s="224"/>
      <c r="K278" s="223"/>
      <c r="L278" s="223"/>
      <c r="M278" s="224"/>
      <c r="N278" s="224"/>
      <c r="P278" s="142" t="str">
        <f t="shared" si="27"/>
        <v/>
      </c>
      <c r="Q278" s="142" t="str">
        <f t="shared" si="28"/>
        <v/>
      </c>
    </row>
    <row r="279" spans="1:17">
      <c r="A279" s="152"/>
      <c r="B279" s="147" t="str">
        <f t="shared" si="25"/>
        <v/>
      </c>
      <c r="C279" s="152"/>
      <c r="D279" s="147" t="str">
        <f t="shared" si="24"/>
        <v/>
      </c>
      <c r="E279" s="199"/>
      <c r="F279" s="147" t="str">
        <f t="shared" si="26"/>
        <v/>
      </c>
      <c r="G279" s="196"/>
      <c r="H279" s="196"/>
      <c r="I279" s="196"/>
      <c r="J279" s="224"/>
      <c r="K279" s="223"/>
      <c r="L279" s="223"/>
      <c r="M279" s="224"/>
      <c r="N279" s="224"/>
      <c r="P279" s="142" t="str">
        <f t="shared" si="27"/>
        <v/>
      </c>
      <c r="Q279" s="142" t="str">
        <f t="shared" si="28"/>
        <v/>
      </c>
    </row>
    <row r="280" spans="1:17">
      <c r="A280" s="152"/>
      <c r="B280" s="147" t="str">
        <f t="shared" si="25"/>
        <v/>
      </c>
      <c r="C280" s="152"/>
      <c r="D280" s="147" t="str">
        <f t="shared" si="24"/>
        <v/>
      </c>
      <c r="E280" s="199"/>
      <c r="F280" s="147" t="str">
        <f t="shared" si="26"/>
        <v/>
      </c>
      <c r="G280" s="196"/>
      <c r="H280" s="196"/>
      <c r="I280" s="196"/>
      <c r="J280" s="224"/>
      <c r="K280" s="223"/>
      <c r="L280" s="223"/>
      <c r="M280" s="224"/>
      <c r="N280" s="224"/>
      <c r="P280" s="142" t="str">
        <f t="shared" si="27"/>
        <v/>
      </c>
      <c r="Q280" s="142" t="str">
        <f t="shared" si="28"/>
        <v/>
      </c>
    </row>
    <row r="281" spans="1:17">
      <c r="A281" s="152"/>
      <c r="B281" s="147" t="str">
        <f t="shared" si="25"/>
        <v/>
      </c>
      <c r="C281" s="152"/>
      <c r="D281" s="147" t="str">
        <f t="shared" si="24"/>
        <v/>
      </c>
      <c r="E281" s="199"/>
      <c r="F281" s="147" t="str">
        <f t="shared" si="26"/>
        <v/>
      </c>
      <c r="G281" s="196"/>
      <c r="H281" s="196"/>
      <c r="I281" s="196"/>
      <c r="J281" s="224"/>
      <c r="K281" s="223"/>
      <c r="L281" s="223"/>
      <c r="M281" s="224"/>
      <c r="N281" s="224"/>
      <c r="P281" s="142" t="str">
        <f t="shared" si="27"/>
        <v/>
      </c>
      <c r="Q281" s="142" t="str">
        <f t="shared" si="28"/>
        <v/>
      </c>
    </row>
    <row r="282" spans="1:17">
      <c r="A282" s="152"/>
      <c r="B282" s="147" t="str">
        <f t="shared" si="25"/>
        <v/>
      </c>
      <c r="C282" s="152"/>
      <c r="D282" s="147" t="str">
        <f t="shared" si="24"/>
        <v/>
      </c>
      <c r="E282" s="199"/>
      <c r="F282" s="147" t="str">
        <f t="shared" si="26"/>
        <v/>
      </c>
      <c r="G282" s="196"/>
      <c r="H282" s="196"/>
      <c r="I282" s="196"/>
      <c r="J282" s="224"/>
      <c r="K282" s="223"/>
      <c r="L282" s="223"/>
      <c r="M282" s="224"/>
      <c r="N282" s="224"/>
      <c r="P282" s="142" t="str">
        <f t="shared" si="27"/>
        <v/>
      </c>
      <c r="Q282" s="142" t="str">
        <f t="shared" si="28"/>
        <v/>
      </c>
    </row>
    <row r="283" spans="1:17">
      <c r="A283" s="152"/>
      <c r="B283" s="147" t="str">
        <f t="shared" si="25"/>
        <v/>
      </c>
      <c r="C283" s="152"/>
      <c r="D283" s="147" t="str">
        <f t="shared" si="24"/>
        <v/>
      </c>
      <c r="E283" s="199"/>
      <c r="F283" s="147" t="str">
        <f t="shared" si="26"/>
        <v/>
      </c>
      <c r="G283" s="196"/>
      <c r="H283" s="196"/>
      <c r="I283" s="196"/>
      <c r="J283" s="224"/>
      <c r="K283" s="223"/>
      <c r="L283" s="223"/>
      <c r="M283" s="224"/>
      <c r="N283" s="224"/>
      <c r="P283" s="142" t="str">
        <f t="shared" si="27"/>
        <v/>
      </c>
      <c r="Q283" s="142" t="str">
        <f t="shared" si="28"/>
        <v/>
      </c>
    </row>
    <row r="284" spans="1:17">
      <c r="A284" s="152"/>
      <c r="B284" s="147" t="str">
        <f t="shared" si="25"/>
        <v/>
      </c>
      <c r="C284" s="152"/>
      <c r="D284" s="147" t="str">
        <f t="shared" si="24"/>
        <v/>
      </c>
      <c r="E284" s="199"/>
      <c r="F284" s="147" t="str">
        <f t="shared" si="26"/>
        <v/>
      </c>
      <c r="G284" s="196"/>
      <c r="H284" s="196"/>
      <c r="I284" s="196"/>
      <c r="J284" s="224"/>
      <c r="K284" s="223"/>
      <c r="L284" s="223"/>
      <c r="M284" s="224"/>
      <c r="N284" s="224"/>
      <c r="P284" s="142" t="str">
        <f t="shared" si="27"/>
        <v/>
      </c>
      <c r="Q284" s="142" t="str">
        <f t="shared" si="28"/>
        <v/>
      </c>
    </row>
    <row r="285" spans="1:17">
      <c r="A285" s="152"/>
      <c r="B285" s="147" t="str">
        <f t="shared" si="25"/>
        <v/>
      </c>
      <c r="C285" s="152"/>
      <c r="D285" s="147" t="str">
        <f t="shared" si="24"/>
        <v/>
      </c>
      <c r="E285" s="199"/>
      <c r="F285" s="147" t="str">
        <f t="shared" si="26"/>
        <v/>
      </c>
      <c r="G285" s="196"/>
      <c r="H285" s="196"/>
      <c r="I285" s="196"/>
      <c r="J285" s="224"/>
      <c r="K285" s="223"/>
      <c r="L285" s="223"/>
      <c r="M285" s="224"/>
      <c r="N285" s="224"/>
      <c r="P285" s="142" t="str">
        <f t="shared" si="27"/>
        <v/>
      </c>
      <c r="Q285" s="142" t="str">
        <f t="shared" si="28"/>
        <v/>
      </c>
    </row>
    <row r="286" spans="1:17">
      <c r="A286" s="152"/>
      <c r="B286" s="147" t="str">
        <f t="shared" si="25"/>
        <v/>
      </c>
      <c r="C286" s="152"/>
      <c r="D286" s="147" t="str">
        <f t="shared" si="24"/>
        <v/>
      </c>
      <c r="E286" s="199"/>
      <c r="F286" s="147" t="str">
        <f t="shared" si="26"/>
        <v/>
      </c>
      <c r="G286" s="196"/>
      <c r="H286" s="196"/>
      <c r="I286" s="196"/>
      <c r="J286" s="224"/>
      <c r="K286" s="223"/>
      <c r="L286" s="223"/>
      <c r="M286" s="224"/>
      <c r="N286" s="224"/>
      <c r="P286" s="142" t="str">
        <f t="shared" si="27"/>
        <v/>
      </c>
      <c r="Q286" s="142" t="str">
        <f t="shared" si="28"/>
        <v/>
      </c>
    </row>
    <row r="287" spans="1:17">
      <c r="A287" s="152"/>
      <c r="B287" s="147" t="str">
        <f t="shared" si="25"/>
        <v/>
      </c>
      <c r="C287" s="152"/>
      <c r="D287" s="147" t="str">
        <f t="shared" si="24"/>
        <v/>
      </c>
      <c r="E287" s="199"/>
      <c r="F287" s="147" t="str">
        <f t="shared" si="26"/>
        <v/>
      </c>
      <c r="G287" s="196"/>
      <c r="H287" s="196"/>
      <c r="I287" s="196"/>
      <c r="J287" s="224"/>
      <c r="K287" s="223"/>
      <c r="L287" s="223"/>
      <c r="M287" s="224"/>
      <c r="N287" s="224"/>
      <c r="P287" s="142" t="str">
        <f t="shared" si="27"/>
        <v/>
      </c>
      <c r="Q287" s="142" t="str">
        <f t="shared" si="28"/>
        <v/>
      </c>
    </row>
    <row r="288" spans="1:17">
      <c r="A288" s="152"/>
      <c r="B288" s="147" t="str">
        <f t="shared" si="25"/>
        <v/>
      </c>
      <c r="C288" s="152"/>
      <c r="D288" s="147" t="str">
        <f t="shared" si="24"/>
        <v/>
      </c>
      <c r="E288" s="199"/>
      <c r="F288" s="147" t="str">
        <f t="shared" si="26"/>
        <v/>
      </c>
      <c r="G288" s="196"/>
      <c r="H288" s="196"/>
      <c r="I288" s="196"/>
      <c r="J288" s="224"/>
      <c r="K288" s="223"/>
      <c r="L288" s="223"/>
      <c r="M288" s="224"/>
      <c r="N288" s="224"/>
      <c r="P288" s="142" t="str">
        <f t="shared" si="27"/>
        <v/>
      </c>
      <c r="Q288" s="142" t="str">
        <f t="shared" si="28"/>
        <v/>
      </c>
    </row>
    <row r="289" spans="1:17">
      <c r="A289" s="152"/>
      <c r="B289" s="147" t="str">
        <f t="shared" si="25"/>
        <v/>
      </c>
      <c r="C289" s="152"/>
      <c r="D289" s="147" t="str">
        <f t="shared" si="24"/>
        <v/>
      </c>
      <c r="E289" s="199"/>
      <c r="F289" s="147" t="str">
        <f t="shared" si="26"/>
        <v/>
      </c>
      <c r="G289" s="196"/>
      <c r="H289" s="196"/>
      <c r="I289" s="196"/>
      <c r="J289" s="224"/>
      <c r="K289" s="223"/>
      <c r="L289" s="223"/>
      <c r="M289" s="224"/>
      <c r="N289" s="224"/>
      <c r="P289" s="142" t="str">
        <f t="shared" si="27"/>
        <v/>
      </c>
      <c r="Q289" s="142" t="str">
        <f t="shared" si="28"/>
        <v/>
      </c>
    </row>
    <row r="290" spans="1:17">
      <c r="A290" s="152"/>
      <c r="B290" s="147" t="str">
        <f t="shared" si="25"/>
        <v/>
      </c>
      <c r="C290" s="152"/>
      <c r="D290" s="147" t="str">
        <f t="shared" si="24"/>
        <v/>
      </c>
      <c r="E290" s="199"/>
      <c r="F290" s="147" t="str">
        <f t="shared" si="26"/>
        <v/>
      </c>
      <c r="G290" s="196"/>
      <c r="H290" s="196"/>
      <c r="I290" s="196"/>
      <c r="J290" s="224"/>
      <c r="K290" s="223"/>
      <c r="L290" s="223"/>
      <c r="M290" s="224"/>
      <c r="N290" s="224"/>
      <c r="P290" s="142" t="str">
        <f t="shared" si="27"/>
        <v/>
      </c>
      <c r="Q290" s="142" t="str">
        <f t="shared" si="28"/>
        <v/>
      </c>
    </row>
    <row r="291" spans="1:17">
      <c r="A291" s="152"/>
      <c r="B291" s="147" t="str">
        <f t="shared" si="25"/>
        <v/>
      </c>
      <c r="C291" s="152"/>
      <c r="D291" s="147" t="str">
        <f t="shared" si="24"/>
        <v/>
      </c>
      <c r="E291" s="199"/>
      <c r="F291" s="147" t="str">
        <f t="shared" si="26"/>
        <v/>
      </c>
      <c r="G291" s="196"/>
      <c r="H291" s="196"/>
      <c r="I291" s="196"/>
      <c r="J291" s="224"/>
      <c r="K291" s="223"/>
      <c r="L291" s="223"/>
      <c r="M291" s="224"/>
      <c r="N291" s="224"/>
      <c r="P291" s="142" t="str">
        <f t="shared" si="27"/>
        <v/>
      </c>
      <c r="Q291" s="142" t="str">
        <f t="shared" si="28"/>
        <v/>
      </c>
    </row>
    <row r="292" spans="1:17">
      <c r="A292" s="152"/>
      <c r="B292" s="147" t="str">
        <f t="shared" si="25"/>
        <v/>
      </c>
      <c r="C292" s="152"/>
      <c r="D292" s="147" t="str">
        <f t="shared" si="24"/>
        <v/>
      </c>
      <c r="E292" s="199"/>
      <c r="F292" s="147" t="str">
        <f t="shared" si="26"/>
        <v/>
      </c>
      <c r="G292" s="196"/>
      <c r="H292" s="196"/>
      <c r="I292" s="196"/>
      <c r="J292" s="224"/>
      <c r="K292" s="223"/>
      <c r="L292" s="223"/>
      <c r="M292" s="224"/>
      <c r="N292" s="224"/>
      <c r="P292" s="142" t="str">
        <f t="shared" si="27"/>
        <v/>
      </c>
      <c r="Q292" s="142" t="str">
        <f t="shared" si="28"/>
        <v/>
      </c>
    </row>
    <row r="293" spans="1:17">
      <c r="A293" s="152"/>
      <c r="B293" s="147" t="str">
        <f t="shared" si="25"/>
        <v/>
      </c>
      <c r="C293" s="152"/>
      <c r="D293" s="147" t="str">
        <f t="shared" si="24"/>
        <v/>
      </c>
      <c r="E293" s="199"/>
      <c r="F293" s="147" t="str">
        <f t="shared" si="26"/>
        <v/>
      </c>
      <c r="G293" s="196"/>
      <c r="H293" s="196"/>
      <c r="I293" s="196"/>
      <c r="J293" s="224"/>
      <c r="K293" s="223"/>
      <c r="L293" s="223"/>
      <c r="M293" s="224"/>
      <c r="N293" s="224"/>
      <c r="P293" s="142" t="str">
        <f t="shared" si="27"/>
        <v/>
      </c>
      <c r="Q293" s="142" t="str">
        <f t="shared" si="28"/>
        <v/>
      </c>
    </row>
    <row r="294" spans="1:17">
      <c r="A294" s="152"/>
      <c r="B294" s="147" t="str">
        <f t="shared" si="25"/>
        <v/>
      </c>
      <c r="C294" s="152"/>
      <c r="D294" s="147" t="str">
        <f t="shared" si="24"/>
        <v/>
      </c>
      <c r="E294" s="199"/>
      <c r="F294" s="147" t="str">
        <f t="shared" si="26"/>
        <v/>
      </c>
      <c r="G294" s="196"/>
      <c r="H294" s="196"/>
      <c r="I294" s="196"/>
      <c r="J294" s="224"/>
      <c r="K294" s="223"/>
      <c r="L294" s="223"/>
      <c r="M294" s="224"/>
      <c r="N294" s="224"/>
      <c r="P294" s="142" t="str">
        <f t="shared" si="27"/>
        <v/>
      </c>
      <c r="Q294" s="142" t="str">
        <f t="shared" si="28"/>
        <v/>
      </c>
    </row>
    <row r="295" spans="1:17">
      <c r="A295" s="152"/>
      <c r="B295" s="147" t="str">
        <f t="shared" si="25"/>
        <v/>
      </c>
      <c r="C295" s="152"/>
      <c r="D295" s="147" t="str">
        <f t="shared" si="24"/>
        <v/>
      </c>
      <c r="E295" s="199"/>
      <c r="F295" s="147" t="str">
        <f t="shared" si="26"/>
        <v/>
      </c>
      <c r="G295" s="196"/>
      <c r="H295" s="196"/>
      <c r="I295" s="196"/>
      <c r="J295" s="224"/>
      <c r="K295" s="223"/>
      <c r="L295" s="223"/>
      <c r="M295" s="224"/>
      <c r="N295" s="224"/>
      <c r="P295" s="142" t="str">
        <f t="shared" si="27"/>
        <v/>
      </c>
      <c r="Q295" s="142" t="str">
        <f t="shared" si="28"/>
        <v/>
      </c>
    </row>
    <row r="296" spans="1:17">
      <c r="A296" s="152"/>
      <c r="B296" s="147" t="str">
        <f t="shared" si="25"/>
        <v/>
      </c>
      <c r="C296" s="152"/>
      <c r="D296" s="147" t="str">
        <f t="shared" si="24"/>
        <v/>
      </c>
      <c r="E296" s="199"/>
      <c r="F296" s="147" t="str">
        <f t="shared" si="26"/>
        <v/>
      </c>
      <c r="G296" s="196"/>
      <c r="H296" s="196"/>
      <c r="I296" s="196"/>
      <c r="J296" s="224"/>
      <c r="K296" s="223"/>
      <c r="L296" s="223"/>
      <c r="M296" s="224"/>
      <c r="N296" s="224"/>
      <c r="P296" s="142" t="str">
        <f t="shared" si="27"/>
        <v/>
      </c>
      <c r="Q296" s="142" t="str">
        <f t="shared" si="28"/>
        <v/>
      </c>
    </row>
    <row r="297" spans="1:17">
      <c r="A297" s="152"/>
      <c r="B297" s="147" t="str">
        <f t="shared" si="25"/>
        <v/>
      </c>
      <c r="C297" s="152"/>
      <c r="D297" s="147" t="str">
        <f t="shared" si="24"/>
        <v/>
      </c>
      <c r="E297" s="199"/>
      <c r="F297" s="147" t="str">
        <f t="shared" si="26"/>
        <v/>
      </c>
      <c r="G297" s="196"/>
      <c r="H297" s="196"/>
      <c r="I297" s="196"/>
      <c r="J297" s="224"/>
      <c r="K297" s="223"/>
      <c r="L297" s="223"/>
      <c r="M297" s="224"/>
      <c r="N297" s="224"/>
      <c r="P297" s="142" t="str">
        <f t="shared" si="27"/>
        <v/>
      </c>
      <c r="Q297" s="142" t="str">
        <f t="shared" si="28"/>
        <v/>
      </c>
    </row>
    <row r="298" spans="1:17">
      <c r="A298" s="152"/>
      <c r="B298" s="147" t="str">
        <f t="shared" si="25"/>
        <v/>
      </c>
      <c r="C298" s="152"/>
      <c r="D298" s="147" t="str">
        <f t="shared" si="24"/>
        <v/>
      </c>
      <c r="E298" s="199"/>
      <c r="F298" s="147" t="str">
        <f t="shared" si="26"/>
        <v/>
      </c>
      <c r="G298" s="196"/>
      <c r="H298" s="196"/>
      <c r="I298" s="196"/>
      <c r="J298" s="224"/>
      <c r="K298" s="223"/>
      <c r="L298" s="223"/>
      <c r="M298" s="224"/>
      <c r="N298" s="224"/>
      <c r="P298" s="142" t="str">
        <f t="shared" si="27"/>
        <v/>
      </c>
      <c r="Q298" s="142" t="str">
        <f t="shared" si="28"/>
        <v/>
      </c>
    </row>
    <row r="299" spans="1:17">
      <c r="A299" s="152"/>
      <c r="B299" s="147" t="str">
        <f t="shared" si="25"/>
        <v/>
      </c>
      <c r="C299" s="152"/>
      <c r="D299" s="147" t="str">
        <f t="shared" si="24"/>
        <v/>
      </c>
      <c r="E299" s="199"/>
      <c r="F299" s="147" t="str">
        <f t="shared" si="26"/>
        <v/>
      </c>
      <c r="G299" s="196"/>
      <c r="H299" s="196"/>
      <c r="I299" s="196"/>
      <c r="J299" s="224"/>
      <c r="K299" s="223"/>
      <c r="L299" s="223"/>
      <c r="M299" s="224"/>
      <c r="N299" s="224"/>
      <c r="P299" s="142" t="str">
        <f t="shared" si="27"/>
        <v/>
      </c>
      <c r="Q299" s="142" t="str">
        <f t="shared" si="28"/>
        <v/>
      </c>
    </row>
    <row r="300" spans="1:17">
      <c r="A300" s="152"/>
      <c r="B300" s="147" t="str">
        <f t="shared" si="25"/>
        <v/>
      </c>
      <c r="C300" s="152"/>
      <c r="D300" s="147" t="str">
        <f t="shared" si="24"/>
        <v/>
      </c>
      <c r="E300" s="199"/>
      <c r="F300" s="147" t="str">
        <f t="shared" si="26"/>
        <v/>
      </c>
      <c r="G300" s="196"/>
      <c r="H300" s="196"/>
      <c r="I300" s="196"/>
      <c r="J300" s="224"/>
      <c r="K300" s="223"/>
      <c r="L300" s="223"/>
      <c r="M300" s="224"/>
      <c r="N300" s="224"/>
      <c r="P300" s="142" t="str">
        <f t="shared" si="27"/>
        <v/>
      </c>
      <c r="Q300" s="142" t="str">
        <f t="shared" si="28"/>
        <v/>
      </c>
    </row>
    <row r="301" spans="1:17">
      <c r="A301" s="152"/>
      <c r="B301" s="147" t="str">
        <f t="shared" si="25"/>
        <v/>
      </c>
      <c r="C301" s="152"/>
      <c r="D301" s="147" t="str">
        <f t="shared" si="24"/>
        <v/>
      </c>
      <c r="E301" s="199"/>
      <c r="F301" s="147" t="str">
        <f t="shared" si="26"/>
        <v/>
      </c>
      <c r="G301" s="196"/>
      <c r="H301" s="196"/>
      <c r="I301" s="196"/>
      <c r="J301" s="224"/>
      <c r="K301" s="223"/>
      <c r="L301" s="223"/>
      <c r="M301" s="224"/>
      <c r="N301" s="224"/>
      <c r="P301" s="142" t="str">
        <f t="shared" si="27"/>
        <v/>
      </c>
      <c r="Q301" s="142" t="str">
        <f t="shared" si="28"/>
        <v/>
      </c>
    </row>
    <row r="302" spans="1:17">
      <c r="A302" s="152"/>
      <c r="B302" s="147" t="str">
        <f t="shared" si="25"/>
        <v/>
      </c>
      <c r="C302" s="152"/>
      <c r="D302" s="147" t="str">
        <f t="shared" si="24"/>
        <v/>
      </c>
      <c r="E302" s="199"/>
      <c r="F302" s="147" t="str">
        <f t="shared" si="26"/>
        <v/>
      </c>
      <c r="G302" s="196"/>
      <c r="H302" s="196"/>
      <c r="I302" s="196"/>
      <c r="J302" s="224"/>
      <c r="K302" s="223"/>
      <c r="L302" s="223"/>
      <c r="M302" s="224"/>
      <c r="N302" s="224"/>
      <c r="P302" s="142" t="str">
        <f t="shared" si="27"/>
        <v/>
      </c>
      <c r="Q302" s="142" t="str">
        <f t="shared" si="28"/>
        <v/>
      </c>
    </row>
    <row r="303" spans="1:17">
      <c r="A303" s="152"/>
      <c r="B303" s="147" t="str">
        <f t="shared" si="25"/>
        <v/>
      </c>
      <c r="C303" s="152"/>
      <c r="D303" s="147" t="str">
        <f t="shared" si="24"/>
        <v/>
      </c>
      <c r="E303" s="199"/>
      <c r="F303" s="147" t="str">
        <f t="shared" si="26"/>
        <v/>
      </c>
      <c r="G303" s="196"/>
      <c r="H303" s="196"/>
      <c r="I303" s="196"/>
      <c r="J303" s="224"/>
      <c r="K303" s="223"/>
      <c r="L303" s="223"/>
      <c r="M303" s="224"/>
      <c r="N303" s="224"/>
      <c r="P303" s="142" t="str">
        <f t="shared" si="27"/>
        <v/>
      </c>
      <c r="Q303" s="142" t="str">
        <f t="shared" si="28"/>
        <v/>
      </c>
    </row>
    <row r="304" spans="1:17">
      <c r="A304" s="152"/>
      <c r="B304" s="147" t="str">
        <f t="shared" si="25"/>
        <v/>
      </c>
      <c r="C304" s="152"/>
      <c r="D304" s="147" t="str">
        <f t="shared" si="24"/>
        <v/>
      </c>
      <c r="E304" s="199"/>
      <c r="F304" s="147" t="str">
        <f t="shared" si="26"/>
        <v/>
      </c>
      <c r="G304" s="196"/>
      <c r="H304" s="196"/>
      <c r="I304" s="196"/>
      <c r="J304" s="224"/>
      <c r="K304" s="223"/>
      <c r="L304" s="223"/>
      <c r="M304" s="224"/>
      <c r="N304" s="224"/>
      <c r="P304" s="142" t="str">
        <f t="shared" si="27"/>
        <v/>
      </c>
      <c r="Q304" s="142" t="str">
        <f t="shared" si="28"/>
        <v/>
      </c>
    </row>
    <row r="305" spans="1:17">
      <c r="A305" s="152"/>
      <c r="B305" s="147" t="str">
        <f t="shared" si="25"/>
        <v/>
      </c>
      <c r="C305" s="152"/>
      <c r="D305" s="147" t="str">
        <f t="shared" si="24"/>
        <v/>
      </c>
      <c r="E305" s="199"/>
      <c r="F305" s="147" t="str">
        <f t="shared" si="26"/>
        <v/>
      </c>
      <c r="G305" s="196"/>
      <c r="H305" s="196"/>
      <c r="I305" s="196"/>
      <c r="J305" s="224"/>
      <c r="K305" s="223"/>
      <c r="L305" s="223"/>
      <c r="M305" s="224"/>
      <c r="N305" s="224"/>
      <c r="P305" s="142" t="str">
        <f t="shared" si="27"/>
        <v/>
      </c>
      <c r="Q305" s="142" t="str">
        <f t="shared" si="28"/>
        <v/>
      </c>
    </row>
    <row r="306" spans="1:17">
      <c r="A306" s="152"/>
      <c r="B306" s="147" t="str">
        <f t="shared" si="25"/>
        <v/>
      </c>
      <c r="C306" s="152"/>
      <c r="D306" s="147" t="str">
        <f t="shared" si="24"/>
        <v/>
      </c>
      <c r="E306" s="199"/>
      <c r="F306" s="147" t="str">
        <f t="shared" si="26"/>
        <v/>
      </c>
      <c r="G306" s="196"/>
      <c r="H306" s="196"/>
      <c r="I306" s="196"/>
      <c r="J306" s="224"/>
      <c r="K306" s="223"/>
      <c r="L306" s="223"/>
      <c r="M306" s="224"/>
      <c r="N306" s="224"/>
      <c r="P306" s="142" t="str">
        <f t="shared" si="27"/>
        <v/>
      </c>
      <c r="Q306" s="142" t="str">
        <f t="shared" si="28"/>
        <v/>
      </c>
    </row>
    <row r="307" spans="1:17">
      <c r="A307" s="152"/>
      <c r="B307" s="147" t="str">
        <f t="shared" si="25"/>
        <v/>
      </c>
      <c r="C307" s="152"/>
      <c r="D307" s="147" t="str">
        <f t="shared" si="24"/>
        <v/>
      </c>
      <c r="E307" s="199"/>
      <c r="F307" s="147" t="str">
        <f t="shared" si="26"/>
        <v/>
      </c>
      <c r="G307" s="196"/>
      <c r="H307" s="196"/>
      <c r="I307" s="196"/>
      <c r="J307" s="224"/>
      <c r="K307" s="223"/>
      <c r="L307" s="223"/>
      <c r="M307" s="224"/>
      <c r="N307" s="224"/>
      <c r="P307" s="142" t="str">
        <f t="shared" si="27"/>
        <v/>
      </c>
      <c r="Q307" s="142" t="str">
        <f t="shared" si="28"/>
        <v/>
      </c>
    </row>
    <row r="308" spans="1:17">
      <c r="A308" s="152"/>
      <c r="B308" s="147" t="str">
        <f t="shared" si="25"/>
        <v/>
      </c>
      <c r="C308" s="152"/>
      <c r="D308" s="147" t="str">
        <f t="shared" si="24"/>
        <v/>
      </c>
      <c r="E308" s="199"/>
      <c r="F308" s="147" t="str">
        <f t="shared" si="26"/>
        <v/>
      </c>
      <c r="G308" s="196"/>
      <c r="H308" s="196"/>
      <c r="I308" s="196"/>
      <c r="J308" s="224"/>
      <c r="K308" s="223"/>
      <c r="L308" s="223"/>
      <c r="M308" s="224"/>
      <c r="N308" s="224"/>
      <c r="P308" s="142" t="str">
        <f t="shared" si="27"/>
        <v/>
      </c>
      <c r="Q308" s="142" t="str">
        <f t="shared" si="28"/>
        <v/>
      </c>
    </row>
    <row r="309" spans="1:17">
      <c r="A309" s="152"/>
      <c r="B309" s="147" t="str">
        <f t="shared" si="25"/>
        <v/>
      </c>
      <c r="C309" s="152"/>
      <c r="D309" s="147" t="str">
        <f t="shared" si="24"/>
        <v/>
      </c>
      <c r="E309" s="199"/>
      <c r="F309" s="147" t="str">
        <f t="shared" si="26"/>
        <v/>
      </c>
      <c r="G309" s="196"/>
      <c r="H309" s="196"/>
      <c r="I309" s="196"/>
      <c r="J309" s="224"/>
      <c r="K309" s="223"/>
      <c r="L309" s="223"/>
      <c r="M309" s="224"/>
      <c r="N309" s="224"/>
      <c r="P309" s="142" t="str">
        <f t="shared" si="27"/>
        <v/>
      </c>
      <c r="Q309" s="142" t="str">
        <f t="shared" si="28"/>
        <v/>
      </c>
    </row>
    <row r="310" spans="1:17">
      <c r="A310" s="152"/>
      <c r="B310" s="147" t="str">
        <f t="shared" si="25"/>
        <v/>
      </c>
      <c r="C310" s="152"/>
      <c r="D310" s="147" t="str">
        <f t="shared" si="24"/>
        <v/>
      </c>
      <c r="E310" s="199"/>
      <c r="F310" s="147" t="str">
        <f t="shared" si="26"/>
        <v/>
      </c>
      <c r="G310" s="196"/>
      <c r="H310" s="196"/>
      <c r="I310" s="196"/>
      <c r="J310" s="224"/>
      <c r="K310" s="223"/>
      <c r="L310" s="223"/>
      <c r="M310" s="224"/>
      <c r="N310" s="224"/>
      <c r="P310" s="142" t="str">
        <f t="shared" si="27"/>
        <v/>
      </c>
      <c r="Q310" s="142" t="str">
        <f t="shared" si="28"/>
        <v/>
      </c>
    </row>
    <row r="311" spans="1:17">
      <c r="A311" s="152"/>
      <c r="B311" s="147" t="str">
        <f t="shared" si="25"/>
        <v/>
      </c>
      <c r="C311" s="152"/>
      <c r="D311" s="147" t="str">
        <f t="shared" si="24"/>
        <v/>
      </c>
      <c r="E311" s="199"/>
      <c r="F311" s="147" t="str">
        <f t="shared" si="26"/>
        <v/>
      </c>
      <c r="G311" s="196"/>
      <c r="H311" s="196"/>
      <c r="I311" s="196"/>
      <c r="J311" s="224"/>
      <c r="K311" s="223"/>
      <c r="L311" s="223"/>
      <c r="M311" s="224"/>
      <c r="N311" s="224"/>
      <c r="P311" s="142" t="str">
        <f t="shared" si="27"/>
        <v/>
      </c>
      <c r="Q311" s="142" t="str">
        <f t="shared" si="28"/>
        <v/>
      </c>
    </row>
    <row r="312" spans="1:17">
      <c r="A312" s="152"/>
      <c r="B312" s="147" t="str">
        <f t="shared" si="25"/>
        <v/>
      </c>
      <c r="C312" s="152"/>
      <c r="D312" s="147" t="str">
        <f t="shared" si="24"/>
        <v/>
      </c>
      <c r="E312" s="199"/>
      <c r="F312" s="147" t="str">
        <f t="shared" si="26"/>
        <v/>
      </c>
      <c r="G312" s="196"/>
      <c r="H312" s="196"/>
      <c r="I312" s="196"/>
      <c r="J312" s="224"/>
      <c r="K312" s="223"/>
      <c r="L312" s="223"/>
      <c r="M312" s="224"/>
      <c r="N312" s="224"/>
      <c r="P312" s="142" t="str">
        <f t="shared" si="27"/>
        <v/>
      </c>
      <c r="Q312" s="142" t="str">
        <f t="shared" si="28"/>
        <v/>
      </c>
    </row>
    <row r="313" spans="1:17">
      <c r="A313" s="152"/>
      <c r="B313" s="147" t="str">
        <f t="shared" si="25"/>
        <v/>
      </c>
      <c r="C313" s="152"/>
      <c r="D313" s="147" t="str">
        <f t="shared" si="24"/>
        <v/>
      </c>
      <c r="E313" s="199"/>
      <c r="F313" s="147" t="str">
        <f t="shared" si="26"/>
        <v/>
      </c>
      <c r="G313" s="196"/>
      <c r="H313" s="196"/>
      <c r="I313" s="196"/>
      <c r="J313" s="224"/>
      <c r="K313" s="223"/>
      <c r="L313" s="223"/>
      <c r="M313" s="224"/>
      <c r="N313" s="224"/>
      <c r="P313" s="142" t="str">
        <f t="shared" si="27"/>
        <v/>
      </c>
      <c r="Q313" s="142" t="str">
        <f t="shared" si="28"/>
        <v/>
      </c>
    </row>
    <row r="314" spans="1:17">
      <c r="A314" s="152"/>
      <c r="B314" s="147" t="str">
        <f t="shared" si="25"/>
        <v/>
      </c>
      <c r="C314" s="152"/>
      <c r="D314" s="147" t="str">
        <f t="shared" si="24"/>
        <v/>
      </c>
      <c r="E314" s="199"/>
      <c r="F314" s="147" t="str">
        <f t="shared" si="26"/>
        <v/>
      </c>
      <c r="G314" s="196"/>
      <c r="H314" s="196"/>
      <c r="I314" s="196"/>
      <c r="J314" s="224"/>
      <c r="K314" s="223"/>
      <c r="L314" s="223"/>
      <c r="M314" s="224"/>
      <c r="N314" s="224"/>
      <c r="P314" s="142" t="str">
        <f t="shared" si="27"/>
        <v/>
      </c>
      <c r="Q314" s="142" t="str">
        <f t="shared" si="28"/>
        <v/>
      </c>
    </row>
    <row r="315" spans="1:17">
      <c r="A315" s="152"/>
      <c r="B315" s="147" t="str">
        <f t="shared" si="25"/>
        <v/>
      </c>
      <c r="C315" s="152"/>
      <c r="D315" s="147" t="str">
        <f t="shared" si="24"/>
        <v/>
      </c>
      <c r="E315" s="199"/>
      <c r="F315" s="147" t="str">
        <f t="shared" si="26"/>
        <v/>
      </c>
      <c r="G315" s="196"/>
      <c r="H315" s="196"/>
      <c r="I315" s="196"/>
      <c r="J315" s="224"/>
      <c r="K315" s="223"/>
      <c r="L315" s="223"/>
      <c r="M315" s="224"/>
      <c r="N315" s="224"/>
      <c r="P315" s="142" t="str">
        <f t="shared" si="27"/>
        <v/>
      </c>
      <c r="Q315" s="142" t="str">
        <f t="shared" si="28"/>
        <v/>
      </c>
    </row>
    <row r="316" spans="1:17">
      <c r="A316" s="152"/>
      <c r="B316" s="147" t="str">
        <f t="shared" si="25"/>
        <v/>
      </c>
      <c r="C316" s="152"/>
      <c r="D316" s="147" t="str">
        <f t="shared" si="24"/>
        <v/>
      </c>
      <c r="E316" s="199"/>
      <c r="F316" s="147" t="str">
        <f t="shared" si="26"/>
        <v/>
      </c>
      <c r="G316" s="196"/>
      <c r="H316" s="196"/>
      <c r="I316" s="196"/>
      <c r="J316" s="224"/>
      <c r="K316" s="223"/>
      <c r="L316" s="223"/>
      <c r="M316" s="224"/>
      <c r="N316" s="224"/>
      <c r="P316" s="142" t="str">
        <f t="shared" si="27"/>
        <v/>
      </c>
      <c r="Q316" s="142" t="str">
        <f t="shared" si="28"/>
        <v/>
      </c>
    </row>
    <row r="317" spans="1:17">
      <c r="A317" s="152"/>
      <c r="B317" s="147" t="str">
        <f t="shared" si="25"/>
        <v/>
      </c>
      <c r="C317" s="152"/>
      <c r="D317" s="147" t="str">
        <f t="shared" si="24"/>
        <v/>
      </c>
      <c r="E317" s="199"/>
      <c r="F317" s="147" t="str">
        <f t="shared" si="26"/>
        <v/>
      </c>
      <c r="G317" s="196"/>
      <c r="H317" s="196"/>
      <c r="I317" s="196"/>
      <c r="J317" s="224"/>
      <c r="K317" s="223"/>
      <c r="L317" s="223"/>
      <c r="M317" s="224"/>
      <c r="N317" s="224"/>
      <c r="P317" s="142" t="str">
        <f t="shared" si="27"/>
        <v/>
      </c>
      <c r="Q317" s="142" t="str">
        <f t="shared" si="28"/>
        <v/>
      </c>
    </row>
    <row r="318" spans="1:17">
      <c r="A318" s="152"/>
      <c r="B318" s="147" t="str">
        <f t="shared" si="25"/>
        <v/>
      </c>
      <c r="C318" s="152"/>
      <c r="D318" s="147" t="str">
        <f t="shared" si="24"/>
        <v/>
      </c>
      <c r="E318" s="199"/>
      <c r="F318" s="147" t="str">
        <f t="shared" si="26"/>
        <v/>
      </c>
      <c r="G318" s="196"/>
      <c r="H318" s="196"/>
      <c r="I318" s="196"/>
      <c r="J318" s="224"/>
      <c r="K318" s="223"/>
      <c r="L318" s="223"/>
      <c r="M318" s="224"/>
      <c r="N318" s="224"/>
      <c r="P318" s="142" t="str">
        <f t="shared" si="27"/>
        <v/>
      </c>
      <c r="Q318" s="142" t="str">
        <f t="shared" si="28"/>
        <v/>
      </c>
    </row>
    <row r="319" spans="1:17">
      <c r="A319" s="152"/>
      <c r="B319" s="147" t="str">
        <f t="shared" si="25"/>
        <v/>
      </c>
      <c r="C319" s="152"/>
      <c r="D319" s="147" t="str">
        <f t="shared" si="24"/>
        <v/>
      </c>
      <c r="E319" s="199"/>
      <c r="F319" s="147" t="str">
        <f t="shared" si="26"/>
        <v/>
      </c>
      <c r="G319" s="196"/>
      <c r="H319" s="196"/>
      <c r="I319" s="196"/>
      <c r="J319" s="224"/>
      <c r="K319" s="223"/>
      <c r="L319" s="223"/>
      <c r="M319" s="224"/>
      <c r="N319" s="224"/>
      <c r="P319" s="142" t="str">
        <f t="shared" si="27"/>
        <v/>
      </c>
      <c r="Q319" s="142" t="str">
        <f t="shared" si="28"/>
        <v/>
      </c>
    </row>
    <row r="320" spans="1:17">
      <c r="A320" s="152"/>
      <c r="B320" s="147" t="str">
        <f t="shared" si="25"/>
        <v/>
      </c>
      <c r="C320" s="152"/>
      <c r="D320" s="147" t="str">
        <f t="shared" si="24"/>
        <v/>
      </c>
      <c r="E320" s="199"/>
      <c r="F320" s="147" t="str">
        <f t="shared" si="26"/>
        <v/>
      </c>
      <c r="G320" s="196"/>
      <c r="H320" s="196"/>
      <c r="I320" s="196"/>
      <c r="J320" s="224"/>
      <c r="K320" s="223"/>
      <c r="L320" s="223"/>
      <c r="M320" s="224"/>
      <c r="N320" s="224"/>
      <c r="P320" s="142" t="str">
        <f t="shared" si="27"/>
        <v/>
      </c>
      <c r="Q320" s="142" t="str">
        <f t="shared" si="28"/>
        <v/>
      </c>
    </row>
    <row r="321" spans="1:17">
      <c r="A321" s="152"/>
      <c r="B321" s="147" t="str">
        <f t="shared" si="25"/>
        <v/>
      </c>
      <c r="C321" s="152"/>
      <c r="D321" s="147" t="str">
        <f t="shared" si="24"/>
        <v/>
      </c>
      <c r="E321" s="199"/>
      <c r="F321" s="147" t="str">
        <f t="shared" si="26"/>
        <v/>
      </c>
      <c r="G321" s="196"/>
      <c r="H321" s="196"/>
      <c r="I321" s="196"/>
      <c r="J321" s="224"/>
      <c r="K321" s="223"/>
      <c r="L321" s="223"/>
      <c r="M321" s="224"/>
      <c r="N321" s="224"/>
      <c r="P321" s="142" t="str">
        <f t="shared" si="27"/>
        <v/>
      </c>
      <c r="Q321" s="142" t="str">
        <f t="shared" si="28"/>
        <v/>
      </c>
    </row>
    <row r="322" spans="1:17">
      <c r="A322" s="152"/>
      <c r="B322" s="147" t="str">
        <f t="shared" si="25"/>
        <v/>
      </c>
      <c r="C322" s="152"/>
      <c r="D322" s="147" t="str">
        <f t="shared" si="24"/>
        <v/>
      </c>
      <c r="E322" s="199"/>
      <c r="F322" s="147" t="str">
        <f t="shared" si="26"/>
        <v/>
      </c>
      <c r="G322" s="196"/>
      <c r="H322" s="196"/>
      <c r="I322" s="196"/>
      <c r="J322" s="224"/>
      <c r="K322" s="223"/>
      <c r="L322" s="223"/>
      <c r="M322" s="224"/>
      <c r="N322" s="224"/>
      <c r="P322" s="142" t="str">
        <f t="shared" si="27"/>
        <v/>
      </c>
      <c r="Q322" s="142" t="str">
        <f t="shared" si="28"/>
        <v/>
      </c>
    </row>
    <row r="323" spans="1:17">
      <c r="A323" s="152"/>
      <c r="B323" s="147" t="str">
        <f t="shared" si="25"/>
        <v/>
      </c>
      <c r="C323" s="152"/>
      <c r="D323" s="147" t="str">
        <f t="shared" ref="D323:D386" si="29">IFERROR(VLOOKUP(C323,$U$5:$W$129,2,FALSE),"")</f>
        <v/>
      </c>
      <c r="E323" s="199"/>
      <c r="F323" s="147" t="str">
        <f t="shared" si="26"/>
        <v/>
      </c>
      <c r="G323" s="196"/>
      <c r="H323" s="196"/>
      <c r="I323" s="196"/>
      <c r="J323" s="224"/>
      <c r="K323" s="223"/>
      <c r="L323" s="223"/>
      <c r="M323" s="224"/>
      <c r="N323" s="224"/>
      <c r="P323" s="142" t="str">
        <f t="shared" si="27"/>
        <v/>
      </c>
      <c r="Q323" s="142" t="str">
        <f t="shared" si="28"/>
        <v/>
      </c>
    </row>
    <row r="324" spans="1:17">
      <c r="A324" s="152"/>
      <c r="B324" s="147" t="str">
        <f t="shared" ref="B324:B387" si="30">IFERROR(VLOOKUP(A324,$R$6:$S$22,2,FALSE),"")</f>
        <v/>
      </c>
      <c r="C324" s="152"/>
      <c r="D324" s="147" t="str">
        <f t="shared" si="29"/>
        <v/>
      </c>
      <c r="E324" s="199"/>
      <c r="F324" s="147" t="str">
        <f t="shared" ref="F324:F387" si="31">IFERROR(VLOOKUP(E324,$AA$6:$AB$239,2,FALSE),"")</f>
        <v/>
      </c>
      <c r="G324" s="196"/>
      <c r="H324" s="196"/>
      <c r="I324" s="196"/>
      <c r="J324" s="224"/>
      <c r="K324" s="223"/>
      <c r="L324" s="223"/>
      <c r="M324" s="224"/>
      <c r="N324" s="224"/>
      <c r="P324" s="142" t="str">
        <f t="shared" ref="P324:P387" si="32">LEFT(C324,3)</f>
        <v/>
      </c>
      <c r="Q324" s="142" t="str">
        <f t="shared" ref="Q324:Q387" si="33">LEFT(C324,2)</f>
        <v/>
      </c>
    </row>
    <row r="325" spans="1:17">
      <c r="A325" s="152"/>
      <c r="B325" s="147" t="str">
        <f t="shared" si="30"/>
        <v/>
      </c>
      <c r="C325" s="152"/>
      <c r="D325" s="147" t="str">
        <f t="shared" si="29"/>
        <v/>
      </c>
      <c r="E325" s="199"/>
      <c r="F325" s="147" t="str">
        <f t="shared" si="31"/>
        <v/>
      </c>
      <c r="G325" s="196"/>
      <c r="H325" s="196"/>
      <c r="I325" s="196"/>
      <c r="J325" s="224"/>
      <c r="K325" s="223"/>
      <c r="L325" s="223"/>
      <c r="M325" s="224"/>
      <c r="N325" s="224"/>
      <c r="P325" s="142" t="str">
        <f t="shared" si="32"/>
        <v/>
      </c>
      <c r="Q325" s="142" t="str">
        <f t="shared" si="33"/>
        <v/>
      </c>
    </row>
    <row r="326" spans="1:17">
      <c r="A326" s="152"/>
      <c r="B326" s="147" t="str">
        <f t="shared" si="30"/>
        <v/>
      </c>
      <c r="C326" s="152"/>
      <c r="D326" s="147" t="str">
        <f t="shared" si="29"/>
        <v/>
      </c>
      <c r="E326" s="199"/>
      <c r="F326" s="147" t="str">
        <f t="shared" si="31"/>
        <v/>
      </c>
      <c r="G326" s="196"/>
      <c r="H326" s="196"/>
      <c r="I326" s="196"/>
      <c r="J326" s="224"/>
      <c r="K326" s="223"/>
      <c r="L326" s="223"/>
      <c r="M326" s="224"/>
      <c r="N326" s="224"/>
      <c r="P326" s="142" t="str">
        <f t="shared" si="32"/>
        <v/>
      </c>
      <c r="Q326" s="142" t="str">
        <f t="shared" si="33"/>
        <v/>
      </c>
    </row>
    <row r="327" spans="1:17">
      <c r="A327" s="152"/>
      <c r="B327" s="147" t="str">
        <f t="shared" si="30"/>
        <v/>
      </c>
      <c r="C327" s="152"/>
      <c r="D327" s="147" t="str">
        <f t="shared" si="29"/>
        <v/>
      </c>
      <c r="E327" s="199"/>
      <c r="F327" s="147" t="str">
        <f t="shared" si="31"/>
        <v/>
      </c>
      <c r="G327" s="196"/>
      <c r="H327" s="196"/>
      <c r="I327" s="196"/>
      <c r="J327" s="224"/>
      <c r="K327" s="223"/>
      <c r="L327" s="223"/>
      <c r="M327" s="224"/>
      <c r="N327" s="224"/>
      <c r="P327" s="142" t="str">
        <f t="shared" si="32"/>
        <v/>
      </c>
      <c r="Q327" s="142" t="str">
        <f t="shared" si="33"/>
        <v/>
      </c>
    </row>
    <row r="328" spans="1:17">
      <c r="A328" s="152"/>
      <c r="B328" s="147" t="str">
        <f t="shared" si="30"/>
        <v/>
      </c>
      <c r="C328" s="152"/>
      <c r="D328" s="147" t="str">
        <f t="shared" si="29"/>
        <v/>
      </c>
      <c r="E328" s="199"/>
      <c r="F328" s="147" t="str">
        <f t="shared" si="31"/>
        <v/>
      </c>
      <c r="G328" s="196"/>
      <c r="H328" s="196"/>
      <c r="I328" s="196"/>
      <c r="J328" s="224"/>
      <c r="K328" s="223"/>
      <c r="L328" s="223"/>
      <c r="M328" s="224"/>
      <c r="N328" s="224"/>
      <c r="P328" s="142" t="str">
        <f t="shared" si="32"/>
        <v/>
      </c>
      <c r="Q328" s="142" t="str">
        <f t="shared" si="33"/>
        <v/>
      </c>
    </row>
    <row r="329" spans="1:17">
      <c r="A329" s="152"/>
      <c r="B329" s="147" t="str">
        <f t="shared" si="30"/>
        <v/>
      </c>
      <c r="C329" s="152"/>
      <c r="D329" s="147" t="str">
        <f t="shared" si="29"/>
        <v/>
      </c>
      <c r="E329" s="199"/>
      <c r="F329" s="147" t="str">
        <f t="shared" si="31"/>
        <v/>
      </c>
      <c r="G329" s="196"/>
      <c r="H329" s="196"/>
      <c r="I329" s="196"/>
      <c r="J329" s="224"/>
      <c r="K329" s="223"/>
      <c r="L329" s="223"/>
      <c r="M329" s="224"/>
      <c r="N329" s="224"/>
      <c r="P329" s="142" t="str">
        <f t="shared" si="32"/>
        <v/>
      </c>
      <c r="Q329" s="142" t="str">
        <f t="shared" si="33"/>
        <v/>
      </c>
    </row>
    <row r="330" spans="1:17">
      <c r="A330" s="152"/>
      <c r="B330" s="147" t="str">
        <f t="shared" si="30"/>
        <v/>
      </c>
      <c r="C330" s="152"/>
      <c r="D330" s="147" t="str">
        <f t="shared" si="29"/>
        <v/>
      </c>
      <c r="E330" s="199"/>
      <c r="F330" s="147" t="str">
        <f t="shared" si="31"/>
        <v/>
      </c>
      <c r="G330" s="196"/>
      <c r="H330" s="196"/>
      <c r="I330" s="196"/>
      <c r="J330" s="224"/>
      <c r="K330" s="223"/>
      <c r="L330" s="223"/>
      <c r="M330" s="224"/>
      <c r="N330" s="224"/>
      <c r="P330" s="142" t="str">
        <f t="shared" si="32"/>
        <v/>
      </c>
      <c r="Q330" s="142" t="str">
        <f t="shared" si="33"/>
        <v/>
      </c>
    </row>
    <row r="331" spans="1:17">
      <c r="A331" s="152"/>
      <c r="B331" s="147" t="str">
        <f t="shared" si="30"/>
        <v/>
      </c>
      <c r="C331" s="152"/>
      <c r="D331" s="147" t="str">
        <f t="shared" si="29"/>
        <v/>
      </c>
      <c r="E331" s="199"/>
      <c r="F331" s="147" t="str">
        <f t="shared" si="31"/>
        <v/>
      </c>
      <c r="G331" s="196"/>
      <c r="H331" s="196"/>
      <c r="I331" s="196"/>
      <c r="J331" s="224"/>
      <c r="K331" s="223"/>
      <c r="L331" s="223"/>
      <c r="M331" s="224"/>
      <c r="N331" s="224"/>
      <c r="P331" s="142" t="str">
        <f t="shared" si="32"/>
        <v/>
      </c>
      <c r="Q331" s="142" t="str">
        <f t="shared" si="33"/>
        <v/>
      </c>
    </row>
    <row r="332" spans="1:17">
      <c r="A332" s="152"/>
      <c r="B332" s="147" t="str">
        <f t="shared" si="30"/>
        <v/>
      </c>
      <c r="C332" s="152"/>
      <c r="D332" s="147" t="str">
        <f t="shared" si="29"/>
        <v/>
      </c>
      <c r="E332" s="199"/>
      <c r="F332" s="147" t="str">
        <f t="shared" si="31"/>
        <v/>
      </c>
      <c r="G332" s="196"/>
      <c r="H332" s="196"/>
      <c r="I332" s="196"/>
      <c r="J332" s="224"/>
      <c r="K332" s="223"/>
      <c r="L332" s="223"/>
      <c r="M332" s="224"/>
      <c r="N332" s="224"/>
      <c r="P332" s="142" t="str">
        <f t="shared" si="32"/>
        <v/>
      </c>
      <c r="Q332" s="142" t="str">
        <f t="shared" si="33"/>
        <v/>
      </c>
    </row>
    <row r="333" spans="1:17">
      <c r="A333" s="152"/>
      <c r="B333" s="147" t="str">
        <f t="shared" si="30"/>
        <v/>
      </c>
      <c r="C333" s="152"/>
      <c r="D333" s="147" t="str">
        <f t="shared" si="29"/>
        <v/>
      </c>
      <c r="E333" s="199"/>
      <c r="F333" s="147" t="str">
        <f t="shared" si="31"/>
        <v/>
      </c>
      <c r="G333" s="196"/>
      <c r="H333" s="196"/>
      <c r="I333" s="196"/>
      <c r="J333" s="224"/>
      <c r="K333" s="223"/>
      <c r="L333" s="223"/>
      <c r="M333" s="224"/>
      <c r="N333" s="224"/>
      <c r="P333" s="142" t="str">
        <f t="shared" si="32"/>
        <v/>
      </c>
      <c r="Q333" s="142" t="str">
        <f t="shared" si="33"/>
        <v/>
      </c>
    </row>
    <row r="334" spans="1:17">
      <c r="A334" s="152"/>
      <c r="B334" s="147" t="str">
        <f t="shared" si="30"/>
        <v/>
      </c>
      <c r="C334" s="152"/>
      <c r="D334" s="147" t="str">
        <f t="shared" si="29"/>
        <v/>
      </c>
      <c r="E334" s="199"/>
      <c r="F334" s="147" t="str">
        <f t="shared" si="31"/>
        <v/>
      </c>
      <c r="G334" s="196"/>
      <c r="H334" s="196"/>
      <c r="I334" s="196"/>
      <c r="J334" s="224"/>
      <c r="K334" s="223"/>
      <c r="L334" s="223"/>
      <c r="M334" s="224"/>
      <c r="N334" s="224"/>
      <c r="P334" s="142" t="str">
        <f t="shared" si="32"/>
        <v/>
      </c>
      <c r="Q334" s="142" t="str">
        <f t="shared" si="33"/>
        <v/>
      </c>
    </row>
    <row r="335" spans="1:17">
      <c r="A335" s="152"/>
      <c r="B335" s="147" t="str">
        <f t="shared" si="30"/>
        <v/>
      </c>
      <c r="C335" s="152"/>
      <c r="D335" s="147" t="str">
        <f t="shared" si="29"/>
        <v/>
      </c>
      <c r="E335" s="199"/>
      <c r="F335" s="147" t="str">
        <f t="shared" si="31"/>
        <v/>
      </c>
      <c r="G335" s="196"/>
      <c r="H335" s="196"/>
      <c r="I335" s="196"/>
      <c r="J335" s="224"/>
      <c r="K335" s="223"/>
      <c r="L335" s="223"/>
      <c r="M335" s="224"/>
      <c r="N335" s="224"/>
      <c r="P335" s="142" t="str">
        <f t="shared" si="32"/>
        <v/>
      </c>
      <c r="Q335" s="142" t="str">
        <f t="shared" si="33"/>
        <v/>
      </c>
    </row>
    <row r="336" spans="1:17">
      <c r="A336" s="152"/>
      <c r="B336" s="147" t="str">
        <f t="shared" si="30"/>
        <v/>
      </c>
      <c r="C336" s="152"/>
      <c r="D336" s="147" t="str">
        <f t="shared" si="29"/>
        <v/>
      </c>
      <c r="E336" s="199"/>
      <c r="F336" s="147" t="str">
        <f t="shared" si="31"/>
        <v/>
      </c>
      <c r="G336" s="196"/>
      <c r="H336" s="196"/>
      <c r="I336" s="196"/>
      <c r="J336" s="224"/>
      <c r="K336" s="223"/>
      <c r="L336" s="223"/>
      <c r="M336" s="224"/>
      <c r="N336" s="224"/>
      <c r="P336" s="142" t="str">
        <f t="shared" si="32"/>
        <v/>
      </c>
      <c r="Q336" s="142" t="str">
        <f t="shared" si="33"/>
        <v/>
      </c>
    </row>
    <row r="337" spans="1:17">
      <c r="A337" s="152"/>
      <c r="B337" s="147" t="str">
        <f t="shared" si="30"/>
        <v/>
      </c>
      <c r="C337" s="152"/>
      <c r="D337" s="147" t="str">
        <f t="shared" si="29"/>
        <v/>
      </c>
      <c r="E337" s="199"/>
      <c r="F337" s="147" t="str">
        <f t="shared" si="31"/>
        <v/>
      </c>
      <c r="G337" s="196"/>
      <c r="H337" s="196"/>
      <c r="I337" s="196"/>
      <c r="J337" s="224"/>
      <c r="K337" s="223"/>
      <c r="L337" s="223"/>
      <c r="M337" s="224"/>
      <c r="N337" s="224"/>
      <c r="P337" s="142" t="str">
        <f t="shared" si="32"/>
        <v/>
      </c>
      <c r="Q337" s="142" t="str">
        <f t="shared" si="33"/>
        <v/>
      </c>
    </row>
    <row r="338" spans="1:17">
      <c r="A338" s="152"/>
      <c r="B338" s="147" t="str">
        <f t="shared" si="30"/>
        <v/>
      </c>
      <c r="C338" s="152"/>
      <c r="D338" s="147" t="str">
        <f t="shared" si="29"/>
        <v/>
      </c>
      <c r="E338" s="199"/>
      <c r="F338" s="147" t="str">
        <f t="shared" si="31"/>
        <v/>
      </c>
      <c r="G338" s="196"/>
      <c r="H338" s="196"/>
      <c r="I338" s="196"/>
      <c r="J338" s="224"/>
      <c r="K338" s="223"/>
      <c r="L338" s="223"/>
      <c r="M338" s="224"/>
      <c r="N338" s="224"/>
      <c r="P338" s="142" t="str">
        <f t="shared" si="32"/>
        <v/>
      </c>
      <c r="Q338" s="142" t="str">
        <f t="shared" si="33"/>
        <v/>
      </c>
    </row>
    <row r="339" spans="1:17">
      <c r="A339" s="152"/>
      <c r="B339" s="147" t="str">
        <f t="shared" si="30"/>
        <v/>
      </c>
      <c r="C339" s="152"/>
      <c r="D339" s="147" t="str">
        <f t="shared" si="29"/>
        <v/>
      </c>
      <c r="E339" s="199"/>
      <c r="F339" s="147" t="str">
        <f t="shared" si="31"/>
        <v/>
      </c>
      <c r="G339" s="196"/>
      <c r="H339" s="196"/>
      <c r="I339" s="196"/>
      <c r="J339" s="224"/>
      <c r="K339" s="223"/>
      <c r="L339" s="223"/>
      <c r="M339" s="224"/>
      <c r="N339" s="224"/>
      <c r="P339" s="142" t="str">
        <f t="shared" si="32"/>
        <v/>
      </c>
      <c r="Q339" s="142" t="str">
        <f t="shared" si="33"/>
        <v/>
      </c>
    </row>
    <row r="340" spans="1:17">
      <c r="A340" s="152"/>
      <c r="B340" s="147" t="str">
        <f t="shared" si="30"/>
        <v/>
      </c>
      <c r="C340" s="152"/>
      <c r="D340" s="147" t="str">
        <f t="shared" si="29"/>
        <v/>
      </c>
      <c r="E340" s="199"/>
      <c r="F340" s="147" t="str">
        <f t="shared" si="31"/>
        <v/>
      </c>
      <c r="G340" s="196"/>
      <c r="H340" s="196"/>
      <c r="I340" s="196"/>
      <c r="J340" s="224"/>
      <c r="K340" s="223"/>
      <c r="L340" s="223"/>
      <c r="M340" s="224"/>
      <c r="N340" s="224"/>
      <c r="P340" s="142" t="str">
        <f t="shared" si="32"/>
        <v/>
      </c>
      <c r="Q340" s="142" t="str">
        <f t="shared" si="33"/>
        <v/>
      </c>
    </row>
    <row r="341" spans="1:17">
      <c r="A341" s="152"/>
      <c r="B341" s="147" t="str">
        <f t="shared" si="30"/>
        <v/>
      </c>
      <c r="C341" s="152"/>
      <c r="D341" s="147" t="str">
        <f t="shared" si="29"/>
        <v/>
      </c>
      <c r="E341" s="199"/>
      <c r="F341" s="147" t="str">
        <f t="shared" si="31"/>
        <v/>
      </c>
      <c r="G341" s="196"/>
      <c r="H341" s="196"/>
      <c r="I341" s="196"/>
      <c r="J341" s="224"/>
      <c r="K341" s="223"/>
      <c r="L341" s="223"/>
      <c r="M341" s="224"/>
      <c r="N341" s="224"/>
      <c r="P341" s="142" t="str">
        <f t="shared" si="32"/>
        <v/>
      </c>
      <c r="Q341" s="142" t="str">
        <f t="shared" si="33"/>
        <v/>
      </c>
    </row>
    <row r="342" spans="1:17">
      <c r="A342" s="152"/>
      <c r="B342" s="147" t="str">
        <f t="shared" si="30"/>
        <v/>
      </c>
      <c r="C342" s="152"/>
      <c r="D342" s="147" t="str">
        <f t="shared" si="29"/>
        <v/>
      </c>
      <c r="E342" s="199"/>
      <c r="F342" s="147" t="str">
        <f t="shared" si="31"/>
        <v/>
      </c>
      <c r="G342" s="196"/>
      <c r="H342" s="196"/>
      <c r="I342" s="196"/>
      <c r="J342" s="224"/>
      <c r="K342" s="223"/>
      <c r="L342" s="223"/>
      <c r="M342" s="224"/>
      <c r="N342" s="224"/>
      <c r="P342" s="142" t="str">
        <f t="shared" si="32"/>
        <v/>
      </c>
      <c r="Q342" s="142" t="str">
        <f t="shared" si="33"/>
        <v/>
      </c>
    </row>
    <row r="343" spans="1:17">
      <c r="A343" s="152"/>
      <c r="B343" s="147" t="str">
        <f t="shared" si="30"/>
        <v/>
      </c>
      <c r="C343" s="152"/>
      <c r="D343" s="147" t="str">
        <f t="shared" si="29"/>
        <v/>
      </c>
      <c r="E343" s="199"/>
      <c r="F343" s="147" t="str">
        <f t="shared" si="31"/>
        <v/>
      </c>
      <c r="G343" s="196"/>
      <c r="H343" s="196"/>
      <c r="I343" s="196"/>
      <c r="J343" s="224"/>
      <c r="K343" s="223"/>
      <c r="L343" s="223"/>
      <c r="M343" s="224"/>
      <c r="N343" s="224"/>
      <c r="P343" s="142" t="str">
        <f t="shared" si="32"/>
        <v/>
      </c>
      <c r="Q343" s="142" t="str">
        <f t="shared" si="33"/>
        <v/>
      </c>
    </row>
    <row r="344" spans="1:17">
      <c r="A344" s="152"/>
      <c r="B344" s="147" t="str">
        <f t="shared" si="30"/>
        <v/>
      </c>
      <c r="C344" s="152"/>
      <c r="D344" s="147" t="str">
        <f t="shared" si="29"/>
        <v/>
      </c>
      <c r="E344" s="199"/>
      <c r="F344" s="147" t="str">
        <f t="shared" si="31"/>
        <v/>
      </c>
      <c r="G344" s="196"/>
      <c r="H344" s="196"/>
      <c r="I344" s="196"/>
      <c r="J344" s="224"/>
      <c r="K344" s="223"/>
      <c r="L344" s="223"/>
      <c r="M344" s="224"/>
      <c r="N344" s="224"/>
      <c r="P344" s="142" t="str">
        <f t="shared" si="32"/>
        <v/>
      </c>
      <c r="Q344" s="142" t="str">
        <f t="shared" si="33"/>
        <v/>
      </c>
    </row>
    <row r="345" spans="1:17">
      <c r="A345" s="152"/>
      <c r="B345" s="147" t="str">
        <f t="shared" si="30"/>
        <v/>
      </c>
      <c r="C345" s="152"/>
      <c r="D345" s="147" t="str">
        <f t="shared" si="29"/>
        <v/>
      </c>
      <c r="E345" s="199"/>
      <c r="F345" s="147" t="str">
        <f t="shared" si="31"/>
        <v/>
      </c>
      <c r="G345" s="196"/>
      <c r="H345" s="196"/>
      <c r="I345" s="196"/>
      <c r="J345" s="224"/>
      <c r="K345" s="223"/>
      <c r="L345" s="223"/>
      <c r="M345" s="224"/>
      <c r="N345" s="224"/>
      <c r="P345" s="142" t="str">
        <f t="shared" si="32"/>
        <v/>
      </c>
      <c r="Q345" s="142" t="str">
        <f t="shared" si="33"/>
        <v/>
      </c>
    </row>
    <row r="346" spans="1:17">
      <c r="A346" s="152"/>
      <c r="B346" s="147" t="str">
        <f t="shared" si="30"/>
        <v/>
      </c>
      <c r="C346" s="152"/>
      <c r="D346" s="147" t="str">
        <f t="shared" si="29"/>
        <v/>
      </c>
      <c r="E346" s="199"/>
      <c r="F346" s="147" t="str">
        <f t="shared" si="31"/>
        <v/>
      </c>
      <c r="G346" s="196"/>
      <c r="H346" s="196"/>
      <c r="I346" s="196"/>
      <c r="J346" s="224"/>
      <c r="K346" s="223"/>
      <c r="L346" s="223"/>
      <c r="M346" s="224"/>
      <c r="N346" s="224"/>
      <c r="P346" s="142" t="str">
        <f t="shared" si="32"/>
        <v/>
      </c>
      <c r="Q346" s="142" t="str">
        <f t="shared" si="33"/>
        <v/>
      </c>
    </row>
    <row r="347" spans="1:17">
      <c r="A347" s="152"/>
      <c r="B347" s="147" t="str">
        <f t="shared" si="30"/>
        <v/>
      </c>
      <c r="C347" s="152"/>
      <c r="D347" s="147" t="str">
        <f t="shared" si="29"/>
        <v/>
      </c>
      <c r="E347" s="199"/>
      <c r="F347" s="147" t="str">
        <f t="shared" si="31"/>
        <v/>
      </c>
      <c r="G347" s="196"/>
      <c r="H347" s="196"/>
      <c r="I347" s="196"/>
      <c r="J347" s="224"/>
      <c r="K347" s="223"/>
      <c r="L347" s="223"/>
      <c r="M347" s="224"/>
      <c r="N347" s="224"/>
      <c r="P347" s="142" t="str">
        <f t="shared" si="32"/>
        <v/>
      </c>
      <c r="Q347" s="142" t="str">
        <f t="shared" si="33"/>
        <v/>
      </c>
    </row>
    <row r="348" spans="1:17">
      <c r="A348" s="152"/>
      <c r="B348" s="147" t="str">
        <f t="shared" si="30"/>
        <v/>
      </c>
      <c r="C348" s="152"/>
      <c r="D348" s="147" t="str">
        <f t="shared" si="29"/>
        <v/>
      </c>
      <c r="E348" s="199"/>
      <c r="F348" s="147" t="str">
        <f t="shared" si="31"/>
        <v/>
      </c>
      <c r="G348" s="196"/>
      <c r="H348" s="196"/>
      <c r="I348" s="196"/>
      <c r="J348" s="224"/>
      <c r="K348" s="223"/>
      <c r="L348" s="223"/>
      <c r="M348" s="224"/>
      <c r="N348" s="224"/>
      <c r="P348" s="142" t="str">
        <f t="shared" si="32"/>
        <v/>
      </c>
      <c r="Q348" s="142" t="str">
        <f t="shared" si="33"/>
        <v/>
      </c>
    </row>
    <row r="349" spans="1:17">
      <c r="A349" s="152"/>
      <c r="B349" s="147" t="str">
        <f t="shared" si="30"/>
        <v/>
      </c>
      <c r="C349" s="152"/>
      <c r="D349" s="147" t="str">
        <f t="shared" si="29"/>
        <v/>
      </c>
      <c r="E349" s="199"/>
      <c r="F349" s="147" t="str">
        <f t="shared" si="31"/>
        <v/>
      </c>
      <c r="G349" s="196"/>
      <c r="H349" s="196"/>
      <c r="I349" s="196"/>
      <c r="J349" s="224"/>
      <c r="K349" s="223"/>
      <c r="L349" s="223"/>
      <c r="M349" s="224"/>
      <c r="N349" s="224"/>
      <c r="P349" s="142" t="str">
        <f t="shared" si="32"/>
        <v/>
      </c>
      <c r="Q349" s="142" t="str">
        <f t="shared" si="33"/>
        <v/>
      </c>
    </row>
    <row r="350" spans="1:17">
      <c r="A350" s="152"/>
      <c r="B350" s="147" t="str">
        <f t="shared" si="30"/>
        <v/>
      </c>
      <c r="C350" s="152"/>
      <c r="D350" s="147" t="str">
        <f t="shared" si="29"/>
        <v/>
      </c>
      <c r="E350" s="199"/>
      <c r="F350" s="147" t="str">
        <f t="shared" si="31"/>
        <v/>
      </c>
      <c r="G350" s="196"/>
      <c r="H350" s="196"/>
      <c r="I350" s="196"/>
      <c r="J350" s="224"/>
      <c r="K350" s="223"/>
      <c r="L350" s="223"/>
      <c r="M350" s="224"/>
      <c r="N350" s="224"/>
      <c r="P350" s="142" t="str">
        <f t="shared" si="32"/>
        <v/>
      </c>
      <c r="Q350" s="142" t="str">
        <f t="shared" si="33"/>
        <v/>
      </c>
    </row>
    <row r="351" spans="1:17">
      <c r="A351" s="152"/>
      <c r="B351" s="147" t="str">
        <f t="shared" si="30"/>
        <v/>
      </c>
      <c r="C351" s="152"/>
      <c r="D351" s="147" t="str">
        <f t="shared" si="29"/>
        <v/>
      </c>
      <c r="E351" s="199"/>
      <c r="F351" s="147" t="str">
        <f t="shared" si="31"/>
        <v/>
      </c>
      <c r="G351" s="196"/>
      <c r="H351" s="196"/>
      <c r="I351" s="196"/>
      <c r="J351" s="224"/>
      <c r="K351" s="223"/>
      <c r="L351" s="223"/>
      <c r="M351" s="224"/>
      <c r="N351" s="224"/>
      <c r="P351" s="142" t="str">
        <f t="shared" si="32"/>
        <v/>
      </c>
      <c r="Q351" s="142" t="str">
        <f t="shared" si="33"/>
        <v/>
      </c>
    </row>
    <row r="352" spans="1:17">
      <c r="A352" s="152"/>
      <c r="B352" s="147" t="str">
        <f t="shared" si="30"/>
        <v/>
      </c>
      <c r="C352" s="152"/>
      <c r="D352" s="147" t="str">
        <f t="shared" si="29"/>
        <v/>
      </c>
      <c r="E352" s="199"/>
      <c r="F352" s="147" t="str">
        <f t="shared" si="31"/>
        <v/>
      </c>
      <c r="G352" s="196"/>
      <c r="H352" s="196"/>
      <c r="I352" s="196"/>
      <c r="J352" s="224"/>
      <c r="K352" s="223"/>
      <c r="L352" s="223"/>
      <c r="M352" s="224"/>
      <c r="N352" s="224"/>
      <c r="P352" s="142" t="str">
        <f t="shared" si="32"/>
        <v/>
      </c>
      <c r="Q352" s="142" t="str">
        <f t="shared" si="33"/>
        <v/>
      </c>
    </row>
    <row r="353" spans="1:17">
      <c r="A353" s="152"/>
      <c r="B353" s="147" t="str">
        <f t="shared" si="30"/>
        <v/>
      </c>
      <c r="C353" s="152"/>
      <c r="D353" s="147" t="str">
        <f t="shared" si="29"/>
        <v/>
      </c>
      <c r="E353" s="199"/>
      <c r="F353" s="147" t="str">
        <f t="shared" si="31"/>
        <v/>
      </c>
      <c r="G353" s="196"/>
      <c r="H353" s="196"/>
      <c r="I353" s="196"/>
      <c r="J353" s="224"/>
      <c r="K353" s="223"/>
      <c r="L353" s="223"/>
      <c r="M353" s="224"/>
      <c r="N353" s="224"/>
      <c r="P353" s="142" t="str">
        <f t="shared" si="32"/>
        <v/>
      </c>
      <c r="Q353" s="142" t="str">
        <f t="shared" si="33"/>
        <v/>
      </c>
    </row>
    <row r="354" spans="1:17">
      <c r="A354" s="152"/>
      <c r="B354" s="147" t="str">
        <f t="shared" si="30"/>
        <v/>
      </c>
      <c r="C354" s="152"/>
      <c r="D354" s="147" t="str">
        <f t="shared" si="29"/>
        <v/>
      </c>
      <c r="E354" s="199"/>
      <c r="F354" s="147" t="str">
        <f t="shared" si="31"/>
        <v/>
      </c>
      <c r="G354" s="196"/>
      <c r="H354" s="196"/>
      <c r="I354" s="196"/>
      <c r="J354" s="224"/>
      <c r="K354" s="223"/>
      <c r="L354" s="223"/>
      <c r="M354" s="224"/>
      <c r="N354" s="224"/>
      <c r="P354" s="142" t="str">
        <f t="shared" si="32"/>
        <v/>
      </c>
      <c r="Q354" s="142" t="str">
        <f t="shared" si="33"/>
        <v/>
      </c>
    </row>
    <row r="355" spans="1:17">
      <c r="A355" s="152"/>
      <c r="B355" s="147" t="str">
        <f t="shared" si="30"/>
        <v/>
      </c>
      <c r="C355" s="152"/>
      <c r="D355" s="147" t="str">
        <f t="shared" si="29"/>
        <v/>
      </c>
      <c r="E355" s="199"/>
      <c r="F355" s="147" t="str">
        <f t="shared" si="31"/>
        <v/>
      </c>
      <c r="G355" s="196"/>
      <c r="H355" s="196"/>
      <c r="I355" s="196"/>
      <c r="J355" s="224"/>
      <c r="K355" s="223"/>
      <c r="L355" s="223"/>
      <c r="M355" s="224"/>
      <c r="N355" s="224"/>
      <c r="P355" s="142" t="str">
        <f t="shared" si="32"/>
        <v/>
      </c>
      <c r="Q355" s="142" t="str">
        <f t="shared" si="33"/>
        <v/>
      </c>
    </row>
    <row r="356" spans="1:17">
      <c r="A356" s="152"/>
      <c r="B356" s="147" t="str">
        <f t="shared" si="30"/>
        <v/>
      </c>
      <c r="C356" s="152"/>
      <c r="D356" s="147" t="str">
        <f t="shared" si="29"/>
        <v/>
      </c>
      <c r="E356" s="199"/>
      <c r="F356" s="147" t="str">
        <f t="shared" si="31"/>
        <v/>
      </c>
      <c r="G356" s="196"/>
      <c r="H356" s="196"/>
      <c r="I356" s="196"/>
      <c r="J356" s="224"/>
      <c r="K356" s="223"/>
      <c r="L356" s="223"/>
      <c r="M356" s="224"/>
      <c r="N356" s="224"/>
      <c r="P356" s="142" t="str">
        <f t="shared" si="32"/>
        <v/>
      </c>
      <c r="Q356" s="142" t="str">
        <f t="shared" si="33"/>
        <v/>
      </c>
    </row>
    <row r="357" spans="1:17">
      <c r="A357" s="152"/>
      <c r="B357" s="147" t="str">
        <f t="shared" si="30"/>
        <v/>
      </c>
      <c r="C357" s="152"/>
      <c r="D357" s="147" t="str">
        <f t="shared" si="29"/>
        <v/>
      </c>
      <c r="E357" s="199"/>
      <c r="F357" s="147" t="str">
        <f t="shared" si="31"/>
        <v/>
      </c>
      <c r="G357" s="196"/>
      <c r="H357" s="196"/>
      <c r="I357" s="196"/>
      <c r="J357" s="224"/>
      <c r="K357" s="223"/>
      <c r="L357" s="223"/>
      <c r="M357" s="224"/>
      <c r="N357" s="224"/>
      <c r="P357" s="142" t="str">
        <f t="shared" si="32"/>
        <v/>
      </c>
      <c r="Q357" s="142" t="str">
        <f t="shared" si="33"/>
        <v/>
      </c>
    </row>
    <row r="358" spans="1:17">
      <c r="A358" s="152"/>
      <c r="B358" s="147" t="str">
        <f t="shared" si="30"/>
        <v/>
      </c>
      <c r="C358" s="152"/>
      <c r="D358" s="147" t="str">
        <f t="shared" si="29"/>
        <v/>
      </c>
      <c r="E358" s="199"/>
      <c r="F358" s="147" t="str">
        <f t="shared" si="31"/>
        <v/>
      </c>
      <c r="G358" s="196"/>
      <c r="H358" s="196"/>
      <c r="I358" s="196"/>
      <c r="J358" s="224"/>
      <c r="K358" s="223"/>
      <c r="L358" s="223"/>
      <c r="M358" s="224"/>
      <c r="N358" s="224"/>
      <c r="P358" s="142" t="str">
        <f t="shared" si="32"/>
        <v/>
      </c>
      <c r="Q358" s="142" t="str">
        <f t="shared" si="33"/>
        <v/>
      </c>
    </row>
    <row r="359" spans="1:17">
      <c r="A359" s="152"/>
      <c r="B359" s="147" t="str">
        <f t="shared" si="30"/>
        <v/>
      </c>
      <c r="C359" s="152"/>
      <c r="D359" s="147" t="str">
        <f t="shared" si="29"/>
        <v/>
      </c>
      <c r="E359" s="199"/>
      <c r="F359" s="147" t="str">
        <f t="shared" si="31"/>
        <v/>
      </c>
      <c r="G359" s="196"/>
      <c r="H359" s="196"/>
      <c r="I359" s="196"/>
      <c r="J359" s="224"/>
      <c r="K359" s="223"/>
      <c r="L359" s="223"/>
      <c r="M359" s="224"/>
      <c r="N359" s="224"/>
      <c r="P359" s="142" t="str">
        <f t="shared" si="32"/>
        <v/>
      </c>
      <c r="Q359" s="142" t="str">
        <f t="shared" si="33"/>
        <v/>
      </c>
    </row>
    <row r="360" spans="1:17">
      <c r="A360" s="152"/>
      <c r="B360" s="147" t="str">
        <f t="shared" si="30"/>
        <v/>
      </c>
      <c r="C360" s="152"/>
      <c r="D360" s="147" t="str">
        <f t="shared" si="29"/>
        <v/>
      </c>
      <c r="E360" s="199"/>
      <c r="F360" s="147" t="str">
        <f t="shared" si="31"/>
        <v/>
      </c>
      <c r="G360" s="196"/>
      <c r="H360" s="196"/>
      <c r="I360" s="196"/>
      <c r="J360" s="224"/>
      <c r="K360" s="223"/>
      <c r="L360" s="223"/>
      <c r="M360" s="224"/>
      <c r="N360" s="224"/>
      <c r="P360" s="142" t="str">
        <f t="shared" si="32"/>
        <v/>
      </c>
      <c r="Q360" s="142" t="str">
        <f t="shared" si="33"/>
        <v/>
      </c>
    </row>
    <row r="361" spans="1:17">
      <c r="A361" s="152"/>
      <c r="B361" s="147" t="str">
        <f t="shared" si="30"/>
        <v/>
      </c>
      <c r="C361" s="152"/>
      <c r="D361" s="147" t="str">
        <f t="shared" si="29"/>
        <v/>
      </c>
      <c r="E361" s="199"/>
      <c r="F361" s="147" t="str">
        <f t="shared" si="31"/>
        <v/>
      </c>
      <c r="G361" s="196"/>
      <c r="H361" s="196"/>
      <c r="I361" s="196"/>
      <c r="J361" s="224"/>
      <c r="K361" s="223"/>
      <c r="L361" s="223"/>
      <c r="M361" s="224"/>
      <c r="N361" s="224"/>
      <c r="P361" s="142" t="str">
        <f t="shared" si="32"/>
        <v/>
      </c>
      <c r="Q361" s="142" t="str">
        <f t="shared" si="33"/>
        <v/>
      </c>
    </row>
    <row r="362" spans="1:17">
      <c r="A362" s="152"/>
      <c r="B362" s="147" t="str">
        <f t="shared" si="30"/>
        <v/>
      </c>
      <c r="C362" s="152"/>
      <c r="D362" s="147" t="str">
        <f t="shared" si="29"/>
        <v/>
      </c>
      <c r="E362" s="199"/>
      <c r="F362" s="147" t="str">
        <f t="shared" si="31"/>
        <v/>
      </c>
      <c r="G362" s="196"/>
      <c r="H362" s="196"/>
      <c r="I362" s="196"/>
      <c r="J362" s="224"/>
      <c r="K362" s="223"/>
      <c r="L362" s="223"/>
      <c r="M362" s="224"/>
      <c r="N362" s="224"/>
      <c r="P362" s="142" t="str">
        <f t="shared" si="32"/>
        <v/>
      </c>
      <c r="Q362" s="142" t="str">
        <f t="shared" si="33"/>
        <v/>
      </c>
    </row>
    <row r="363" spans="1:17">
      <c r="A363" s="152"/>
      <c r="B363" s="147" t="str">
        <f t="shared" si="30"/>
        <v/>
      </c>
      <c r="C363" s="152"/>
      <c r="D363" s="147" t="str">
        <f t="shared" si="29"/>
        <v/>
      </c>
      <c r="E363" s="199"/>
      <c r="F363" s="147" t="str">
        <f t="shared" si="31"/>
        <v/>
      </c>
      <c r="G363" s="196"/>
      <c r="H363" s="196"/>
      <c r="I363" s="196"/>
      <c r="J363" s="224"/>
      <c r="K363" s="223"/>
      <c r="L363" s="223"/>
      <c r="M363" s="224"/>
      <c r="N363" s="224"/>
      <c r="P363" s="142" t="str">
        <f t="shared" si="32"/>
        <v/>
      </c>
      <c r="Q363" s="142" t="str">
        <f t="shared" si="33"/>
        <v/>
      </c>
    </row>
    <row r="364" spans="1:17">
      <c r="A364" s="152"/>
      <c r="B364" s="147" t="str">
        <f t="shared" si="30"/>
        <v/>
      </c>
      <c r="C364" s="152"/>
      <c r="D364" s="147" t="str">
        <f t="shared" si="29"/>
        <v/>
      </c>
      <c r="E364" s="199"/>
      <c r="F364" s="147" t="str">
        <f t="shared" si="31"/>
        <v/>
      </c>
      <c r="G364" s="196"/>
      <c r="H364" s="196"/>
      <c r="I364" s="196"/>
      <c r="J364" s="224"/>
      <c r="K364" s="223"/>
      <c r="L364" s="223"/>
      <c r="M364" s="224"/>
      <c r="N364" s="224"/>
      <c r="P364" s="142" t="str">
        <f t="shared" si="32"/>
        <v/>
      </c>
      <c r="Q364" s="142" t="str">
        <f t="shared" si="33"/>
        <v/>
      </c>
    </row>
    <row r="365" spans="1:17">
      <c r="A365" s="152"/>
      <c r="B365" s="147" t="str">
        <f t="shared" si="30"/>
        <v/>
      </c>
      <c r="C365" s="152"/>
      <c r="D365" s="147" t="str">
        <f t="shared" si="29"/>
        <v/>
      </c>
      <c r="E365" s="199"/>
      <c r="F365" s="147" t="str">
        <f t="shared" si="31"/>
        <v/>
      </c>
      <c r="G365" s="196"/>
      <c r="H365" s="196"/>
      <c r="I365" s="196"/>
      <c r="J365" s="224"/>
      <c r="K365" s="223"/>
      <c r="L365" s="223"/>
      <c r="M365" s="224"/>
      <c r="N365" s="224"/>
      <c r="P365" s="142" t="str">
        <f t="shared" si="32"/>
        <v/>
      </c>
      <c r="Q365" s="142" t="str">
        <f t="shared" si="33"/>
        <v/>
      </c>
    </row>
    <row r="366" spans="1:17">
      <c r="A366" s="152"/>
      <c r="B366" s="147" t="str">
        <f t="shared" si="30"/>
        <v/>
      </c>
      <c r="C366" s="152"/>
      <c r="D366" s="147" t="str">
        <f t="shared" si="29"/>
        <v/>
      </c>
      <c r="E366" s="199"/>
      <c r="F366" s="147" t="str">
        <f t="shared" si="31"/>
        <v/>
      </c>
      <c r="G366" s="196"/>
      <c r="H366" s="196"/>
      <c r="I366" s="196"/>
      <c r="J366" s="224"/>
      <c r="K366" s="223"/>
      <c r="L366" s="223"/>
      <c r="M366" s="224"/>
      <c r="N366" s="224"/>
      <c r="P366" s="142" t="str">
        <f t="shared" si="32"/>
        <v/>
      </c>
      <c r="Q366" s="142" t="str">
        <f t="shared" si="33"/>
        <v/>
      </c>
    </row>
    <row r="367" spans="1:17">
      <c r="A367" s="152"/>
      <c r="B367" s="147" t="str">
        <f t="shared" si="30"/>
        <v/>
      </c>
      <c r="C367" s="152"/>
      <c r="D367" s="147" t="str">
        <f t="shared" si="29"/>
        <v/>
      </c>
      <c r="E367" s="199"/>
      <c r="F367" s="147" t="str">
        <f t="shared" si="31"/>
        <v/>
      </c>
      <c r="G367" s="196"/>
      <c r="H367" s="196"/>
      <c r="I367" s="196"/>
      <c r="J367" s="224"/>
      <c r="K367" s="223"/>
      <c r="L367" s="223"/>
      <c r="M367" s="224"/>
      <c r="N367" s="224"/>
      <c r="P367" s="142" t="str">
        <f t="shared" si="32"/>
        <v/>
      </c>
      <c r="Q367" s="142" t="str">
        <f t="shared" si="33"/>
        <v/>
      </c>
    </row>
    <row r="368" spans="1:17">
      <c r="A368" s="152"/>
      <c r="B368" s="147" t="str">
        <f t="shared" si="30"/>
        <v/>
      </c>
      <c r="C368" s="152"/>
      <c r="D368" s="147" t="str">
        <f t="shared" si="29"/>
        <v/>
      </c>
      <c r="E368" s="199"/>
      <c r="F368" s="147" t="str">
        <f t="shared" si="31"/>
        <v/>
      </c>
      <c r="G368" s="196"/>
      <c r="H368" s="196"/>
      <c r="I368" s="196"/>
      <c r="J368" s="224"/>
      <c r="K368" s="223"/>
      <c r="L368" s="223"/>
      <c r="M368" s="224"/>
      <c r="N368" s="224"/>
      <c r="P368" s="142" t="str">
        <f t="shared" si="32"/>
        <v/>
      </c>
      <c r="Q368" s="142" t="str">
        <f t="shared" si="33"/>
        <v/>
      </c>
    </row>
    <row r="369" spans="1:17">
      <c r="A369" s="152"/>
      <c r="B369" s="147" t="str">
        <f t="shared" si="30"/>
        <v/>
      </c>
      <c r="C369" s="152"/>
      <c r="D369" s="147" t="str">
        <f t="shared" si="29"/>
        <v/>
      </c>
      <c r="E369" s="199"/>
      <c r="F369" s="147" t="str">
        <f t="shared" si="31"/>
        <v/>
      </c>
      <c r="G369" s="196"/>
      <c r="H369" s="196"/>
      <c r="I369" s="196"/>
      <c r="J369" s="224"/>
      <c r="K369" s="223"/>
      <c r="L369" s="223"/>
      <c r="M369" s="224"/>
      <c r="N369" s="224"/>
      <c r="P369" s="142" t="str">
        <f t="shared" si="32"/>
        <v/>
      </c>
      <c r="Q369" s="142" t="str">
        <f t="shared" si="33"/>
        <v/>
      </c>
    </row>
    <row r="370" spans="1:17">
      <c r="A370" s="152"/>
      <c r="B370" s="147" t="str">
        <f t="shared" si="30"/>
        <v/>
      </c>
      <c r="C370" s="152"/>
      <c r="D370" s="147" t="str">
        <f t="shared" si="29"/>
        <v/>
      </c>
      <c r="E370" s="199"/>
      <c r="F370" s="147" t="str">
        <f t="shared" si="31"/>
        <v/>
      </c>
      <c r="G370" s="196"/>
      <c r="H370" s="196"/>
      <c r="I370" s="196"/>
      <c r="J370" s="224"/>
      <c r="K370" s="223"/>
      <c r="L370" s="223"/>
      <c r="M370" s="224"/>
      <c r="N370" s="224"/>
      <c r="P370" s="142" t="str">
        <f t="shared" si="32"/>
        <v/>
      </c>
      <c r="Q370" s="142" t="str">
        <f t="shared" si="33"/>
        <v/>
      </c>
    </row>
    <row r="371" spans="1:17">
      <c r="A371" s="152"/>
      <c r="B371" s="147" t="str">
        <f t="shared" si="30"/>
        <v/>
      </c>
      <c r="C371" s="152"/>
      <c r="D371" s="147" t="str">
        <f t="shared" si="29"/>
        <v/>
      </c>
      <c r="E371" s="199"/>
      <c r="F371" s="147" t="str">
        <f t="shared" si="31"/>
        <v/>
      </c>
      <c r="G371" s="196"/>
      <c r="H371" s="196"/>
      <c r="I371" s="196"/>
      <c r="J371" s="224"/>
      <c r="K371" s="223"/>
      <c r="L371" s="223"/>
      <c r="M371" s="224"/>
      <c r="N371" s="224"/>
      <c r="P371" s="142" t="str">
        <f t="shared" si="32"/>
        <v/>
      </c>
      <c r="Q371" s="142" t="str">
        <f t="shared" si="33"/>
        <v/>
      </c>
    </row>
    <row r="372" spans="1:17">
      <c r="A372" s="152"/>
      <c r="B372" s="147" t="str">
        <f t="shared" si="30"/>
        <v/>
      </c>
      <c r="C372" s="152"/>
      <c r="D372" s="147" t="str">
        <f t="shared" si="29"/>
        <v/>
      </c>
      <c r="E372" s="199"/>
      <c r="F372" s="147" t="str">
        <f t="shared" si="31"/>
        <v/>
      </c>
      <c r="G372" s="196"/>
      <c r="H372" s="196"/>
      <c r="I372" s="196"/>
      <c r="J372" s="224"/>
      <c r="K372" s="223"/>
      <c r="L372" s="223"/>
      <c r="M372" s="224"/>
      <c r="N372" s="224"/>
      <c r="P372" s="142" t="str">
        <f t="shared" si="32"/>
        <v/>
      </c>
      <c r="Q372" s="142" t="str">
        <f t="shared" si="33"/>
        <v/>
      </c>
    </row>
    <row r="373" spans="1:17">
      <c r="A373" s="152"/>
      <c r="B373" s="147" t="str">
        <f t="shared" si="30"/>
        <v/>
      </c>
      <c r="C373" s="152"/>
      <c r="D373" s="147" t="str">
        <f t="shared" si="29"/>
        <v/>
      </c>
      <c r="E373" s="199"/>
      <c r="F373" s="147" t="str">
        <f t="shared" si="31"/>
        <v/>
      </c>
      <c r="G373" s="196"/>
      <c r="H373" s="196"/>
      <c r="I373" s="196"/>
      <c r="J373" s="224"/>
      <c r="K373" s="223"/>
      <c r="L373" s="223"/>
      <c r="M373" s="224"/>
      <c r="N373" s="224"/>
      <c r="P373" s="142" t="str">
        <f t="shared" si="32"/>
        <v/>
      </c>
      <c r="Q373" s="142" t="str">
        <f t="shared" si="33"/>
        <v/>
      </c>
    </row>
    <row r="374" spans="1:17">
      <c r="A374" s="152"/>
      <c r="B374" s="147" t="str">
        <f t="shared" si="30"/>
        <v/>
      </c>
      <c r="C374" s="152"/>
      <c r="D374" s="147" t="str">
        <f t="shared" si="29"/>
        <v/>
      </c>
      <c r="E374" s="199"/>
      <c r="F374" s="147" t="str">
        <f t="shared" si="31"/>
        <v/>
      </c>
      <c r="G374" s="196"/>
      <c r="H374" s="196"/>
      <c r="I374" s="196"/>
      <c r="J374" s="224"/>
      <c r="K374" s="223"/>
      <c r="L374" s="223"/>
      <c r="M374" s="224"/>
      <c r="N374" s="224"/>
      <c r="P374" s="142" t="str">
        <f t="shared" si="32"/>
        <v/>
      </c>
      <c r="Q374" s="142" t="str">
        <f t="shared" si="33"/>
        <v/>
      </c>
    </row>
    <row r="375" spans="1:17">
      <c r="A375" s="152"/>
      <c r="B375" s="147" t="str">
        <f t="shared" si="30"/>
        <v/>
      </c>
      <c r="C375" s="152"/>
      <c r="D375" s="147" t="str">
        <f t="shared" si="29"/>
        <v/>
      </c>
      <c r="E375" s="199"/>
      <c r="F375" s="147" t="str">
        <f t="shared" si="31"/>
        <v/>
      </c>
      <c r="G375" s="196"/>
      <c r="H375" s="196"/>
      <c r="I375" s="196"/>
      <c r="J375" s="224"/>
      <c r="K375" s="223"/>
      <c r="L375" s="223"/>
      <c r="M375" s="224"/>
      <c r="N375" s="224"/>
      <c r="P375" s="142" t="str">
        <f t="shared" si="32"/>
        <v/>
      </c>
      <c r="Q375" s="142" t="str">
        <f t="shared" si="33"/>
        <v/>
      </c>
    </row>
    <row r="376" spans="1:17">
      <c r="A376" s="152"/>
      <c r="B376" s="147" t="str">
        <f t="shared" si="30"/>
        <v/>
      </c>
      <c r="C376" s="152"/>
      <c r="D376" s="147" t="str">
        <f t="shared" si="29"/>
        <v/>
      </c>
      <c r="E376" s="199"/>
      <c r="F376" s="147" t="str">
        <f t="shared" si="31"/>
        <v/>
      </c>
      <c r="G376" s="196"/>
      <c r="H376" s="196"/>
      <c r="I376" s="196"/>
      <c r="J376" s="224"/>
      <c r="K376" s="223"/>
      <c r="L376" s="223"/>
      <c r="M376" s="224"/>
      <c r="N376" s="224"/>
      <c r="P376" s="142" t="str">
        <f t="shared" si="32"/>
        <v/>
      </c>
      <c r="Q376" s="142" t="str">
        <f t="shared" si="33"/>
        <v/>
      </c>
    </row>
    <row r="377" spans="1:17">
      <c r="A377" s="152"/>
      <c r="B377" s="147" t="str">
        <f t="shared" si="30"/>
        <v/>
      </c>
      <c r="C377" s="152"/>
      <c r="D377" s="147" t="str">
        <f t="shared" si="29"/>
        <v/>
      </c>
      <c r="E377" s="199"/>
      <c r="F377" s="147" t="str">
        <f t="shared" si="31"/>
        <v/>
      </c>
      <c r="G377" s="196"/>
      <c r="H377" s="196"/>
      <c r="I377" s="196"/>
      <c r="J377" s="224"/>
      <c r="K377" s="223"/>
      <c r="L377" s="223"/>
      <c r="M377" s="224"/>
      <c r="N377" s="224"/>
      <c r="P377" s="142" t="str">
        <f t="shared" si="32"/>
        <v/>
      </c>
      <c r="Q377" s="142" t="str">
        <f t="shared" si="33"/>
        <v/>
      </c>
    </row>
    <row r="378" spans="1:17">
      <c r="A378" s="152"/>
      <c r="B378" s="147" t="str">
        <f t="shared" si="30"/>
        <v/>
      </c>
      <c r="C378" s="152"/>
      <c r="D378" s="147" t="str">
        <f t="shared" si="29"/>
        <v/>
      </c>
      <c r="E378" s="199"/>
      <c r="F378" s="147" t="str">
        <f t="shared" si="31"/>
        <v/>
      </c>
      <c r="G378" s="196"/>
      <c r="H378" s="196"/>
      <c r="I378" s="196"/>
      <c r="J378" s="224"/>
      <c r="K378" s="223"/>
      <c r="L378" s="223"/>
      <c r="M378" s="224"/>
      <c r="N378" s="224"/>
      <c r="P378" s="142" t="str">
        <f t="shared" si="32"/>
        <v/>
      </c>
      <c r="Q378" s="142" t="str">
        <f t="shared" si="33"/>
        <v/>
      </c>
    </row>
    <row r="379" spans="1:17">
      <c r="A379" s="152"/>
      <c r="B379" s="147" t="str">
        <f t="shared" si="30"/>
        <v/>
      </c>
      <c r="C379" s="152"/>
      <c r="D379" s="147" t="str">
        <f t="shared" si="29"/>
        <v/>
      </c>
      <c r="E379" s="199"/>
      <c r="F379" s="147" t="str">
        <f t="shared" si="31"/>
        <v/>
      </c>
      <c r="G379" s="196"/>
      <c r="H379" s="196"/>
      <c r="I379" s="196"/>
      <c r="J379" s="224"/>
      <c r="K379" s="223"/>
      <c r="L379" s="223"/>
      <c r="M379" s="224"/>
      <c r="N379" s="224"/>
      <c r="P379" s="142" t="str">
        <f t="shared" si="32"/>
        <v/>
      </c>
      <c r="Q379" s="142" t="str">
        <f t="shared" si="33"/>
        <v/>
      </c>
    </row>
    <row r="380" spans="1:17">
      <c r="A380" s="152"/>
      <c r="B380" s="147" t="str">
        <f t="shared" si="30"/>
        <v/>
      </c>
      <c r="C380" s="152"/>
      <c r="D380" s="147" t="str">
        <f t="shared" si="29"/>
        <v/>
      </c>
      <c r="E380" s="199"/>
      <c r="F380" s="147" t="str">
        <f t="shared" si="31"/>
        <v/>
      </c>
      <c r="G380" s="196"/>
      <c r="H380" s="196"/>
      <c r="I380" s="196"/>
      <c r="J380" s="224"/>
      <c r="K380" s="223"/>
      <c r="L380" s="223"/>
      <c r="M380" s="224"/>
      <c r="N380" s="224"/>
      <c r="P380" s="142" t="str">
        <f t="shared" si="32"/>
        <v/>
      </c>
      <c r="Q380" s="142" t="str">
        <f t="shared" si="33"/>
        <v/>
      </c>
    </row>
    <row r="381" spans="1:17">
      <c r="A381" s="152"/>
      <c r="B381" s="147" t="str">
        <f t="shared" si="30"/>
        <v/>
      </c>
      <c r="C381" s="152"/>
      <c r="D381" s="147" t="str">
        <f t="shared" si="29"/>
        <v/>
      </c>
      <c r="E381" s="199"/>
      <c r="F381" s="147" t="str">
        <f t="shared" si="31"/>
        <v/>
      </c>
      <c r="G381" s="196"/>
      <c r="H381" s="196"/>
      <c r="I381" s="196"/>
      <c r="J381" s="224"/>
      <c r="K381" s="223"/>
      <c r="L381" s="223"/>
      <c r="M381" s="224"/>
      <c r="N381" s="224"/>
      <c r="P381" s="142" t="str">
        <f t="shared" si="32"/>
        <v/>
      </c>
      <c r="Q381" s="142" t="str">
        <f t="shared" si="33"/>
        <v/>
      </c>
    </row>
    <row r="382" spans="1:17">
      <c r="A382" s="152"/>
      <c r="B382" s="147" t="str">
        <f t="shared" si="30"/>
        <v/>
      </c>
      <c r="C382" s="152"/>
      <c r="D382" s="147" t="str">
        <f t="shared" si="29"/>
        <v/>
      </c>
      <c r="E382" s="199"/>
      <c r="F382" s="147" t="str">
        <f t="shared" si="31"/>
        <v/>
      </c>
      <c r="G382" s="196"/>
      <c r="H382" s="196"/>
      <c r="I382" s="196"/>
      <c r="J382" s="224"/>
      <c r="K382" s="223"/>
      <c r="L382" s="223"/>
      <c r="M382" s="224"/>
      <c r="N382" s="224"/>
      <c r="P382" s="142" t="str">
        <f t="shared" si="32"/>
        <v/>
      </c>
      <c r="Q382" s="142" t="str">
        <f t="shared" si="33"/>
        <v/>
      </c>
    </row>
    <row r="383" spans="1:17">
      <c r="A383" s="152"/>
      <c r="B383" s="147" t="str">
        <f t="shared" si="30"/>
        <v/>
      </c>
      <c r="C383" s="152"/>
      <c r="D383" s="147" t="str">
        <f t="shared" si="29"/>
        <v/>
      </c>
      <c r="E383" s="199"/>
      <c r="F383" s="147" t="str">
        <f t="shared" si="31"/>
        <v/>
      </c>
      <c r="G383" s="196"/>
      <c r="H383" s="196"/>
      <c r="I383" s="196"/>
      <c r="J383" s="224"/>
      <c r="K383" s="223"/>
      <c r="L383" s="223"/>
      <c r="M383" s="224"/>
      <c r="N383" s="224"/>
      <c r="P383" s="142" t="str">
        <f t="shared" si="32"/>
        <v/>
      </c>
      <c r="Q383" s="142" t="str">
        <f t="shared" si="33"/>
        <v/>
      </c>
    </row>
    <row r="384" spans="1:17">
      <c r="A384" s="152"/>
      <c r="B384" s="147" t="str">
        <f t="shared" si="30"/>
        <v/>
      </c>
      <c r="C384" s="152"/>
      <c r="D384" s="147" t="str">
        <f t="shared" si="29"/>
        <v/>
      </c>
      <c r="E384" s="199"/>
      <c r="F384" s="147" t="str">
        <f t="shared" si="31"/>
        <v/>
      </c>
      <c r="G384" s="196"/>
      <c r="H384" s="196"/>
      <c r="I384" s="196"/>
      <c r="J384" s="224"/>
      <c r="K384" s="223"/>
      <c r="L384" s="223"/>
      <c r="M384" s="224"/>
      <c r="N384" s="224"/>
      <c r="P384" s="142" t="str">
        <f t="shared" si="32"/>
        <v/>
      </c>
      <c r="Q384" s="142" t="str">
        <f t="shared" si="33"/>
        <v/>
      </c>
    </row>
    <row r="385" spans="1:17">
      <c r="A385" s="152"/>
      <c r="B385" s="147" t="str">
        <f t="shared" si="30"/>
        <v/>
      </c>
      <c r="C385" s="152"/>
      <c r="D385" s="147" t="str">
        <f t="shared" si="29"/>
        <v/>
      </c>
      <c r="E385" s="199"/>
      <c r="F385" s="147" t="str">
        <f t="shared" si="31"/>
        <v/>
      </c>
      <c r="G385" s="196"/>
      <c r="H385" s="196"/>
      <c r="I385" s="196"/>
      <c r="J385" s="224"/>
      <c r="K385" s="223"/>
      <c r="L385" s="223"/>
      <c r="M385" s="224"/>
      <c r="N385" s="224"/>
      <c r="P385" s="142" t="str">
        <f t="shared" si="32"/>
        <v/>
      </c>
      <c r="Q385" s="142" t="str">
        <f t="shared" si="33"/>
        <v/>
      </c>
    </row>
    <row r="386" spans="1:17">
      <c r="A386" s="152"/>
      <c r="B386" s="147" t="str">
        <f t="shared" si="30"/>
        <v/>
      </c>
      <c r="C386" s="152"/>
      <c r="D386" s="147" t="str">
        <f t="shared" si="29"/>
        <v/>
      </c>
      <c r="E386" s="199"/>
      <c r="F386" s="147" t="str">
        <f t="shared" si="31"/>
        <v/>
      </c>
      <c r="G386" s="196"/>
      <c r="H386" s="196"/>
      <c r="I386" s="196"/>
      <c r="J386" s="224"/>
      <c r="K386" s="223"/>
      <c r="L386" s="223"/>
      <c r="M386" s="224"/>
      <c r="N386" s="224"/>
      <c r="P386" s="142" t="str">
        <f t="shared" si="32"/>
        <v/>
      </c>
      <c r="Q386" s="142" t="str">
        <f t="shared" si="33"/>
        <v/>
      </c>
    </row>
    <row r="387" spans="1:17">
      <c r="A387" s="152"/>
      <c r="B387" s="147" t="str">
        <f t="shared" si="30"/>
        <v/>
      </c>
      <c r="C387" s="152"/>
      <c r="D387" s="147" t="str">
        <f t="shared" ref="D387:D450" si="34">IFERROR(VLOOKUP(C387,$U$5:$W$129,2,FALSE),"")</f>
        <v/>
      </c>
      <c r="E387" s="199"/>
      <c r="F387" s="147" t="str">
        <f t="shared" si="31"/>
        <v/>
      </c>
      <c r="G387" s="196"/>
      <c r="H387" s="196"/>
      <c r="I387" s="196"/>
      <c r="J387" s="224"/>
      <c r="K387" s="223"/>
      <c r="L387" s="223"/>
      <c r="M387" s="224"/>
      <c r="N387" s="224"/>
      <c r="P387" s="142" t="str">
        <f t="shared" si="32"/>
        <v/>
      </c>
      <c r="Q387" s="142" t="str">
        <f t="shared" si="33"/>
        <v/>
      </c>
    </row>
    <row r="388" spans="1:17">
      <c r="A388" s="152"/>
      <c r="B388" s="147" t="str">
        <f t="shared" ref="B388:B451" si="35">IFERROR(VLOOKUP(A388,$R$6:$S$22,2,FALSE),"")</f>
        <v/>
      </c>
      <c r="C388" s="152"/>
      <c r="D388" s="147" t="str">
        <f t="shared" si="34"/>
        <v/>
      </c>
      <c r="E388" s="199"/>
      <c r="F388" s="147" t="str">
        <f t="shared" ref="F388:F451" si="36">IFERROR(VLOOKUP(E388,$AA$6:$AB$239,2,FALSE),"")</f>
        <v/>
      </c>
      <c r="G388" s="196"/>
      <c r="H388" s="196"/>
      <c r="I388" s="196"/>
      <c r="J388" s="224"/>
      <c r="K388" s="223"/>
      <c r="L388" s="223"/>
      <c r="M388" s="224"/>
      <c r="N388" s="224"/>
      <c r="P388" s="142" t="str">
        <f t="shared" ref="P388:P451" si="37">LEFT(C388,3)</f>
        <v/>
      </c>
      <c r="Q388" s="142" t="str">
        <f t="shared" ref="Q388:Q451" si="38">LEFT(C388,2)</f>
        <v/>
      </c>
    </row>
    <row r="389" spans="1:17">
      <c r="A389" s="152"/>
      <c r="B389" s="147" t="str">
        <f t="shared" si="35"/>
        <v/>
      </c>
      <c r="C389" s="152"/>
      <c r="D389" s="147" t="str">
        <f t="shared" si="34"/>
        <v/>
      </c>
      <c r="E389" s="199"/>
      <c r="F389" s="147" t="str">
        <f t="shared" si="36"/>
        <v/>
      </c>
      <c r="G389" s="196"/>
      <c r="H389" s="196"/>
      <c r="I389" s="196"/>
      <c r="J389" s="224"/>
      <c r="K389" s="223"/>
      <c r="L389" s="223"/>
      <c r="M389" s="224"/>
      <c r="N389" s="224"/>
      <c r="P389" s="142" t="str">
        <f t="shared" si="37"/>
        <v/>
      </c>
      <c r="Q389" s="142" t="str">
        <f t="shared" si="38"/>
        <v/>
      </c>
    </row>
    <row r="390" spans="1:17">
      <c r="A390" s="152"/>
      <c r="B390" s="147" t="str">
        <f t="shared" si="35"/>
        <v/>
      </c>
      <c r="C390" s="152"/>
      <c r="D390" s="147" t="str">
        <f t="shared" si="34"/>
        <v/>
      </c>
      <c r="E390" s="199"/>
      <c r="F390" s="147" t="str">
        <f t="shared" si="36"/>
        <v/>
      </c>
      <c r="G390" s="196"/>
      <c r="H390" s="196"/>
      <c r="I390" s="196"/>
      <c r="J390" s="224"/>
      <c r="K390" s="223"/>
      <c r="L390" s="223"/>
      <c r="M390" s="224"/>
      <c r="N390" s="224"/>
      <c r="P390" s="142" t="str">
        <f t="shared" si="37"/>
        <v/>
      </c>
      <c r="Q390" s="142" t="str">
        <f t="shared" si="38"/>
        <v/>
      </c>
    </row>
    <row r="391" spans="1:17">
      <c r="A391" s="152"/>
      <c r="B391" s="147" t="str">
        <f t="shared" si="35"/>
        <v/>
      </c>
      <c r="C391" s="152"/>
      <c r="D391" s="147" t="str">
        <f t="shared" si="34"/>
        <v/>
      </c>
      <c r="E391" s="199"/>
      <c r="F391" s="147" t="str">
        <f t="shared" si="36"/>
        <v/>
      </c>
      <c r="G391" s="196"/>
      <c r="H391" s="196"/>
      <c r="I391" s="196"/>
      <c r="J391" s="224"/>
      <c r="K391" s="223"/>
      <c r="L391" s="223"/>
      <c r="M391" s="224"/>
      <c r="N391" s="224"/>
      <c r="P391" s="142" t="str">
        <f t="shared" si="37"/>
        <v/>
      </c>
      <c r="Q391" s="142" t="str">
        <f t="shared" si="38"/>
        <v/>
      </c>
    </row>
    <row r="392" spans="1:17">
      <c r="A392" s="152"/>
      <c r="B392" s="147" t="str">
        <f t="shared" si="35"/>
        <v/>
      </c>
      <c r="C392" s="152"/>
      <c r="D392" s="147" t="str">
        <f t="shared" si="34"/>
        <v/>
      </c>
      <c r="E392" s="199"/>
      <c r="F392" s="147" t="str">
        <f t="shared" si="36"/>
        <v/>
      </c>
      <c r="G392" s="196"/>
      <c r="H392" s="196"/>
      <c r="I392" s="196"/>
      <c r="J392" s="224"/>
      <c r="K392" s="223"/>
      <c r="L392" s="223"/>
      <c r="M392" s="224"/>
      <c r="N392" s="224"/>
      <c r="P392" s="142" t="str">
        <f t="shared" si="37"/>
        <v/>
      </c>
      <c r="Q392" s="142" t="str">
        <f t="shared" si="38"/>
        <v/>
      </c>
    </row>
    <row r="393" spans="1:17">
      <c r="A393" s="152"/>
      <c r="B393" s="147" t="str">
        <f t="shared" si="35"/>
        <v/>
      </c>
      <c r="C393" s="152"/>
      <c r="D393" s="147" t="str">
        <f t="shared" si="34"/>
        <v/>
      </c>
      <c r="E393" s="199"/>
      <c r="F393" s="147" t="str">
        <f t="shared" si="36"/>
        <v/>
      </c>
      <c r="G393" s="196"/>
      <c r="H393" s="196"/>
      <c r="I393" s="196"/>
      <c r="J393" s="224"/>
      <c r="K393" s="223"/>
      <c r="L393" s="223"/>
      <c r="M393" s="224"/>
      <c r="N393" s="224"/>
      <c r="P393" s="142" t="str">
        <f t="shared" si="37"/>
        <v/>
      </c>
      <c r="Q393" s="142" t="str">
        <f t="shared" si="38"/>
        <v/>
      </c>
    </row>
    <row r="394" spans="1:17">
      <c r="A394" s="152"/>
      <c r="B394" s="147" t="str">
        <f t="shared" si="35"/>
        <v/>
      </c>
      <c r="C394" s="152"/>
      <c r="D394" s="147" t="str">
        <f t="shared" si="34"/>
        <v/>
      </c>
      <c r="E394" s="199"/>
      <c r="F394" s="147" t="str">
        <f t="shared" si="36"/>
        <v/>
      </c>
      <c r="G394" s="196"/>
      <c r="H394" s="196"/>
      <c r="I394" s="196"/>
      <c r="J394" s="224"/>
      <c r="K394" s="223"/>
      <c r="L394" s="223"/>
      <c r="M394" s="224"/>
      <c r="N394" s="224"/>
      <c r="P394" s="142" t="str">
        <f t="shared" si="37"/>
        <v/>
      </c>
      <c r="Q394" s="142" t="str">
        <f t="shared" si="38"/>
        <v/>
      </c>
    </row>
    <row r="395" spans="1:17">
      <c r="A395" s="152"/>
      <c r="B395" s="147" t="str">
        <f t="shared" si="35"/>
        <v/>
      </c>
      <c r="C395" s="152"/>
      <c r="D395" s="147" t="str">
        <f t="shared" si="34"/>
        <v/>
      </c>
      <c r="E395" s="199"/>
      <c r="F395" s="147" t="str">
        <f t="shared" si="36"/>
        <v/>
      </c>
      <c r="G395" s="196"/>
      <c r="H395" s="196"/>
      <c r="I395" s="196"/>
      <c r="J395" s="224"/>
      <c r="K395" s="223"/>
      <c r="L395" s="223"/>
      <c r="M395" s="224"/>
      <c r="N395" s="224"/>
      <c r="P395" s="142" t="str">
        <f t="shared" si="37"/>
        <v/>
      </c>
      <c r="Q395" s="142" t="str">
        <f t="shared" si="38"/>
        <v/>
      </c>
    </row>
    <row r="396" spans="1:17">
      <c r="A396" s="152"/>
      <c r="B396" s="147" t="str">
        <f t="shared" si="35"/>
        <v/>
      </c>
      <c r="C396" s="152"/>
      <c r="D396" s="147" t="str">
        <f t="shared" si="34"/>
        <v/>
      </c>
      <c r="E396" s="199"/>
      <c r="F396" s="147" t="str">
        <f t="shared" si="36"/>
        <v/>
      </c>
      <c r="G396" s="196"/>
      <c r="H396" s="196"/>
      <c r="I396" s="196"/>
      <c r="J396" s="224"/>
      <c r="K396" s="223"/>
      <c r="L396" s="223"/>
      <c r="M396" s="224"/>
      <c r="N396" s="224"/>
      <c r="P396" s="142" t="str">
        <f t="shared" si="37"/>
        <v/>
      </c>
      <c r="Q396" s="142" t="str">
        <f t="shared" si="38"/>
        <v/>
      </c>
    </row>
    <row r="397" spans="1:17">
      <c r="A397" s="152"/>
      <c r="B397" s="147" t="str">
        <f t="shared" si="35"/>
        <v/>
      </c>
      <c r="C397" s="152"/>
      <c r="D397" s="147" t="str">
        <f t="shared" si="34"/>
        <v/>
      </c>
      <c r="E397" s="199"/>
      <c r="F397" s="147" t="str">
        <f t="shared" si="36"/>
        <v/>
      </c>
      <c r="G397" s="196"/>
      <c r="H397" s="196"/>
      <c r="I397" s="196"/>
      <c r="J397" s="224"/>
      <c r="K397" s="223"/>
      <c r="L397" s="223"/>
      <c r="M397" s="224"/>
      <c r="N397" s="224"/>
      <c r="P397" s="142" t="str">
        <f t="shared" si="37"/>
        <v/>
      </c>
      <c r="Q397" s="142" t="str">
        <f t="shared" si="38"/>
        <v/>
      </c>
    </row>
    <row r="398" spans="1:17">
      <c r="A398" s="152"/>
      <c r="B398" s="147" t="str">
        <f t="shared" si="35"/>
        <v/>
      </c>
      <c r="C398" s="152"/>
      <c r="D398" s="147" t="str">
        <f t="shared" si="34"/>
        <v/>
      </c>
      <c r="E398" s="199"/>
      <c r="F398" s="147" t="str">
        <f t="shared" si="36"/>
        <v/>
      </c>
      <c r="G398" s="196"/>
      <c r="H398" s="196"/>
      <c r="I398" s="196"/>
      <c r="J398" s="224"/>
      <c r="K398" s="223"/>
      <c r="L398" s="223"/>
      <c r="M398" s="224"/>
      <c r="N398" s="224"/>
      <c r="P398" s="142" t="str">
        <f t="shared" si="37"/>
        <v/>
      </c>
      <c r="Q398" s="142" t="str">
        <f t="shared" si="38"/>
        <v/>
      </c>
    </row>
    <row r="399" spans="1:17">
      <c r="A399" s="152"/>
      <c r="B399" s="147" t="str">
        <f t="shared" si="35"/>
        <v/>
      </c>
      <c r="C399" s="152"/>
      <c r="D399" s="147" t="str">
        <f t="shared" si="34"/>
        <v/>
      </c>
      <c r="E399" s="199"/>
      <c r="F399" s="147" t="str">
        <f t="shared" si="36"/>
        <v/>
      </c>
      <c r="G399" s="196"/>
      <c r="H399" s="196"/>
      <c r="I399" s="196"/>
      <c r="J399" s="224"/>
      <c r="K399" s="223"/>
      <c r="L399" s="223"/>
      <c r="M399" s="224"/>
      <c r="N399" s="224"/>
      <c r="P399" s="142" t="str">
        <f t="shared" si="37"/>
        <v/>
      </c>
      <c r="Q399" s="142" t="str">
        <f t="shared" si="38"/>
        <v/>
      </c>
    </row>
    <row r="400" spans="1:17">
      <c r="A400" s="152"/>
      <c r="B400" s="147" t="str">
        <f t="shared" si="35"/>
        <v/>
      </c>
      <c r="C400" s="152"/>
      <c r="D400" s="147" t="str">
        <f t="shared" si="34"/>
        <v/>
      </c>
      <c r="E400" s="199"/>
      <c r="F400" s="147" t="str">
        <f t="shared" si="36"/>
        <v/>
      </c>
      <c r="G400" s="196"/>
      <c r="H400" s="196"/>
      <c r="I400" s="196"/>
      <c r="J400" s="224"/>
      <c r="K400" s="223"/>
      <c r="L400" s="223"/>
      <c r="M400" s="224"/>
      <c r="N400" s="224"/>
      <c r="P400" s="142" t="str">
        <f t="shared" si="37"/>
        <v/>
      </c>
      <c r="Q400" s="142" t="str">
        <f t="shared" si="38"/>
        <v/>
      </c>
    </row>
    <row r="401" spans="1:17">
      <c r="A401" s="152"/>
      <c r="B401" s="147" t="str">
        <f t="shared" si="35"/>
        <v/>
      </c>
      <c r="C401" s="152"/>
      <c r="D401" s="147" t="str">
        <f t="shared" si="34"/>
        <v/>
      </c>
      <c r="E401" s="199"/>
      <c r="F401" s="147" t="str">
        <f t="shared" si="36"/>
        <v/>
      </c>
      <c r="G401" s="196"/>
      <c r="H401" s="196"/>
      <c r="I401" s="196"/>
      <c r="J401" s="224"/>
      <c r="K401" s="223"/>
      <c r="L401" s="223"/>
      <c r="M401" s="224"/>
      <c r="N401" s="224"/>
      <c r="P401" s="142" t="str">
        <f t="shared" si="37"/>
        <v/>
      </c>
      <c r="Q401" s="142" t="str">
        <f t="shared" si="38"/>
        <v/>
      </c>
    </row>
    <row r="402" spans="1:17">
      <c r="A402" s="152"/>
      <c r="B402" s="147" t="str">
        <f t="shared" si="35"/>
        <v/>
      </c>
      <c r="C402" s="152"/>
      <c r="D402" s="147" t="str">
        <f t="shared" si="34"/>
        <v/>
      </c>
      <c r="E402" s="199"/>
      <c r="F402" s="147" t="str">
        <f t="shared" si="36"/>
        <v/>
      </c>
      <c r="G402" s="196"/>
      <c r="H402" s="196"/>
      <c r="I402" s="196"/>
      <c r="J402" s="224"/>
      <c r="K402" s="223"/>
      <c r="L402" s="223"/>
      <c r="M402" s="224"/>
      <c r="N402" s="224"/>
      <c r="P402" s="142" t="str">
        <f t="shared" si="37"/>
        <v/>
      </c>
      <c r="Q402" s="142" t="str">
        <f t="shared" si="38"/>
        <v/>
      </c>
    </row>
    <row r="403" spans="1:17">
      <c r="A403" s="152"/>
      <c r="B403" s="147" t="str">
        <f t="shared" si="35"/>
        <v/>
      </c>
      <c r="C403" s="152"/>
      <c r="D403" s="147" t="str">
        <f t="shared" si="34"/>
        <v/>
      </c>
      <c r="E403" s="199"/>
      <c r="F403" s="147" t="str">
        <f t="shared" si="36"/>
        <v/>
      </c>
      <c r="G403" s="196"/>
      <c r="H403" s="196"/>
      <c r="I403" s="196"/>
      <c r="J403" s="224"/>
      <c r="K403" s="223"/>
      <c r="L403" s="223"/>
      <c r="M403" s="224"/>
      <c r="N403" s="224"/>
      <c r="P403" s="142" t="str">
        <f t="shared" si="37"/>
        <v/>
      </c>
      <c r="Q403" s="142" t="str">
        <f t="shared" si="38"/>
        <v/>
      </c>
    </row>
    <row r="404" spans="1:17">
      <c r="A404" s="152"/>
      <c r="B404" s="147" t="str">
        <f t="shared" si="35"/>
        <v/>
      </c>
      <c r="C404" s="152"/>
      <c r="D404" s="147" t="str">
        <f t="shared" si="34"/>
        <v/>
      </c>
      <c r="E404" s="199"/>
      <c r="F404" s="147" t="str">
        <f t="shared" si="36"/>
        <v/>
      </c>
      <c r="G404" s="196"/>
      <c r="H404" s="196"/>
      <c r="I404" s="196"/>
      <c r="J404" s="224"/>
      <c r="K404" s="223"/>
      <c r="L404" s="223"/>
      <c r="M404" s="224"/>
      <c r="N404" s="224"/>
      <c r="P404" s="142" t="str">
        <f t="shared" si="37"/>
        <v/>
      </c>
      <c r="Q404" s="142" t="str">
        <f t="shared" si="38"/>
        <v/>
      </c>
    </row>
    <row r="405" spans="1:17">
      <c r="A405" s="152"/>
      <c r="B405" s="147" t="str">
        <f t="shared" si="35"/>
        <v/>
      </c>
      <c r="C405" s="152"/>
      <c r="D405" s="147" t="str">
        <f t="shared" si="34"/>
        <v/>
      </c>
      <c r="E405" s="199"/>
      <c r="F405" s="147" t="str">
        <f t="shared" si="36"/>
        <v/>
      </c>
      <c r="G405" s="196"/>
      <c r="H405" s="196"/>
      <c r="I405" s="196"/>
      <c r="J405" s="224"/>
      <c r="K405" s="223"/>
      <c r="L405" s="223"/>
      <c r="M405" s="224"/>
      <c r="N405" s="224"/>
      <c r="P405" s="142" t="str">
        <f t="shared" si="37"/>
        <v/>
      </c>
      <c r="Q405" s="142" t="str">
        <f t="shared" si="38"/>
        <v/>
      </c>
    </row>
    <row r="406" spans="1:17">
      <c r="A406" s="152"/>
      <c r="B406" s="147" t="str">
        <f t="shared" si="35"/>
        <v/>
      </c>
      <c r="C406" s="152"/>
      <c r="D406" s="147" t="str">
        <f t="shared" si="34"/>
        <v/>
      </c>
      <c r="E406" s="199"/>
      <c r="F406" s="147" t="str">
        <f t="shared" si="36"/>
        <v/>
      </c>
      <c r="G406" s="196"/>
      <c r="H406" s="196"/>
      <c r="I406" s="196"/>
      <c r="J406" s="224"/>
      <c r="K406" s="223"/>
      <c r="L406" s="223"/>
      <c r="M406" s="224"/>
      <c r="N406" s="224"/>
      <c r="P406" s="142" t="str">
        <f t="shared" si="37"/>
        <v/>
      </c>
      <c r="Q406" s="142" t="str">
        <f t="shared" si="38"/>
        <v/>
      </c>
    </row>
    <row r="407" spans="1:17">
      <c r="A407" s="152"/>
      <c r="B407" s="147" t="str">
        <f t="shared" si="35"/>
        <v/>
      </c>
      <c r="C407" s="152"/>
      <c r="D407" s="147" t="str">
        <f t="shared" si="34"/>
        <v/>
      </c>
      <c r="E407" s="199"/>
      <c r="F407" s="147" t="str">
        <f t="shared" si="36"/>
        <v/>
      </c>
      <c r="G407" s="196"/>
      <c r="H407" s="196"/>
      <c r="I407" s="196"/>
      <c r="J407" s="224"/>
      <c r="K407" s="223"/>
      <c r="L407" s="223"/>
      <c r="M407" s="224"/>
      <c r="N407" s="224"/>
      <c r="P407" s="142" t="str">
        <f t="shared" si="37"/>
        <v/>
      </c>
      <c r="Q407" s="142" t="str">
        <f t="shared" si="38"/>
        <v/>
      </c>
    </row>
    <row r="408" spans="1:17">
      <c r="A408" s="152"/>
      <c r="B408" s="147" t="str">
        <f t="shared" si="35"/>
        <v/>
      </c>
      <c r="C408" s="152"/>
      <c r="D408" s="147" t="str">
        <f t="shared" si="34"/>
        <v/>
      </c>
      <c r="E408" s="199"/>
      <c r="F408" s="147" t="str">
        <f t="shared" si="36"/>
        <v/>
      </c>
      <c r="G408" s="196"/>
      <c r="H408" s="196"/>
      <c r="I408" s="196"/>
      <c r="J408" s="224"/>
      <c r="K408" s="223"/>
      <c r="L408" s="223"/>
      <c r="M408" s="224"/>
      <c r="N408" s="224"/>
      <c r="P408" s="142" t="str">
        <f t="shared" si="37"/>
        <v/>
      </c>
      <c r="Q408" s="142" t="str">
        <f t="shared" si="38"/>
        <v/>
      </c>
    </row>
    <row r="409" spans="1:17">
      <c r="A409" s="152"/>
      <c r="B409" s="147" t="str">
        <f t="shared" si="35"/>
        <v/>
      </c>
      <c r="C409" s="152"/>
      <c r="D409" s="147" t="str">
        <f t="shared" si="34"/>
        <v/>
      </c>
      <c r="E409" s="199"/>
      <c r="F409" s="147" t="str">
        <f t="shared" si="36"/>
        <v/>
      </c>
      <c r="G409" s="196"/>
      <c r="H409" s="196"/>
      <c r="I409" s="196"/>
      <c r="J409" s="224"/>
      <c r="K409" s="223"/>
      <c r="L409" s="223"/>
      <c r="M409" s="224"/>
      <c r="N409" s="224"/>
      <c r="P409" s="142" t="str">
        <f t="shared" si="37"/>
        <v/>
      </c>
      <c r="Q409" s="142" t="str">
        <f t="shared" si="38"/>
        <v/>
      </c>
    </row>
    <row r="410" spans="1:17">
      <c r="A410" s="152"/>
      <c r="B410" s="147" t="str">
        <f t="shared" si="35"/>
        <v/>
      </c>
      <c r="C410" s="152"/>
      <c r="D410" s="147" t="str">
        <f t="shared" si="34"/>
        <v/>
      </c>
      <c r="E410" s="199"/>
      <c r="F410" s="147" t="str">
        <f t="shared" si="36"/>
        <v/>
      </c>
      <c r="G410" s="196"/>
      <c r="H410" s="196"/>
      <c r="I410" s="196"/>
      <c r="J410" s="224"/>
      <c r="K410" s="223"/>
      <c r="L410" s="223"/>
      <c r="M410" s="224"/>
      <c r="N410" s="224"/>
      <c r="P410" s="142" t="str">
        <f t="shared" si="37"/>
        <v/>
      </c>
      <c r="Q410" s="142" t="str">
        <f t="shared" si="38"/>
        <v/>
      </c>
    </row>
    <row r="411" spans="1:17">
      <c r="A411" s="152"/>
      <c r="B411" s="147" t="str">
        <f t="shared" si="35"/>
        <v/>
      </c>
      <c r="C411" s="152"/>
      <c r="D411" s="147" t="str">
        <f t="shared" si="34"/>
        <v/>
      </c>
      <c r="E411" s="199"/>
      <c r="F411" s="147" t="str">
        <f t="shared" si="36"/>
        <v/>
      </c>
      <c r="G411" s="196"/>
      <c r="H411" s="196"/>
      <c r="I411" s="196"/>
      <c r="J411" s="224"/>
      <c r="K411" s="223"/>
      <c r="L411" s="223"/>
      <c r="M411" s="224"/>
      <c r="N411" s="224"/>
      <c r="P411" s="142" t="str">
        <f t="shared" si="37"/>
        <v/>
      </c>
      <c r="Q411" s="142" t="str">
        <f t="shared" si="38"/>
        <v/>
      </c>
    </row>
    <row r="412" spans="1:17">
      <c r="A412" s="152"/>
      <c r="B412" s="147" t="str">
        <f t="shared" si="35"/>
        <v/>
      </c>
      <c r="C412" s="152"/>
      <c r="D412" s="147" t="str">
        <f t="shared" si="34"/>
        <v/>
      </c>
      <c r="E412" s="199"/>
      <c r="F412" s="147" t="str">
        <f t="shared" si="36"/>
        <v/>
      </c>
      <c r="G412" s="196"/>
      <c r="H412" s="196"/>
      <c r="I412" s="196"/>
      <c r="J412" s="224"/>
      <c r="K412" s="223"/>
      <c r="L412" s="223"/>
      <c r="M412" s="224"/>
      <c r="N412" s="224"/>
      <c r="P412" s="142" t="str">
        <f t="shared" si="37"/>
        <v/>
      </c>
      <c r="Q412" s="142" t="str">
        <f t="shared" si="38"/>
        <v/>
      </c>
    </row>
    <row r="413" spans="1:17">
      <c r="A413" s="152"/>
      <c r="B413" s="147" t="str">
        <f t="shared" si="35"/>
        <v/>
      </c>
      <c r="C413" s="152"/>
      <c r="D413" s="147" t="str">
        <f t="shared" si="34"/>
        <v/>
      </c>
      <c r="E413" s="199"/>
      <c r="F413" s="147" t="str">
        <f t="shared" si="36"/>
        <v/>
      </c>
      <c r="G413" s="196"/>
      <c r="H413" s="196"/>
      <c r="I413" s="196"/>
      <c r="J413" s="224"/>
      <c r="K413" s="223"/>
      <c r="L413" s="223"/>
      <c r="M413" s="224"/>
      <c r="N413" s="224"/>
      <c r="P413" s="142" t="str">
        <f t="shared" si="37"/>
        <v/>
      </c>
      <c r="Q413" s="142" t="str">
        <f t="shared" si="38"/>
        <v/>
      </c>
    </row>
    <row r="414" spans="1:17">
      <c r="A414" s="152"/>
      <c r="B414" s="147" t="str">
        <f t="shared" si="35"/>
        <v/>
      </c>
      <c r="C414" s="152"/>
      <c r="D414" s="147" t="str">
        <f t="shared" si="34"/>
        <v/>
      </c>
      <c r="E414" s="199"/>
      <c r="F414" s="147" t="str">
        <f t="shared" si="36"/>
        <v/>
      </c>
      <c r="G414" s="196"/>
      <c r="H414" s="196"/>
      <c r="I414" s="196"/>
      <c r="J414" s="224"/>
      <c r="K414" s="223"/>
      <c r="L414" s="223"/>
      <c r="M414" s="224"/>
      <c r="N414" s="224"/>
      <c r="P414" s="142" t="str">
        <f t="shared" si="37"/>
        <v/>
      </c>
      <c r="Q414" s="142" t="str">
        <f t="shared" si="38"/>
        <v/>
      </c>
    </row>
    <row r="415" spans="1:17">
      <c r="A415" s="152"/>
      <c r="B415" s="147" t="str">
        <f t="shared" si="35"/>
        <v/>
      </c>
      <c r="C415" s="152"/>
      <c r="D415" s="147" t="str">
        <f t="shared" si="34"/>
        <v/>
      </c>
      <c r="E415" s="199"/>
      <c r="F415" s="147" t="str">
        <f t="shared" si="36"/>
        <v/>
      </c>
      <c r="G415" s="196"/>
      <c r="H415" s="196"/>
      <c r="I415" s="196"/>
      <c r="J415" s="224"/>
      <c r="K415" s="223"/>
      <c r="L415" s="223"/>
      <c r="M415" s="224"/>
      <c r="N415" s="224"/>
      <c r="P415" s="142" t="str">
        <f t="shared" si="37"/>
        <v/>
      </c>
      <c r="Q415" s="142" t="str">
        <f t="shared" si="38"/>
        <v/>
      </c>
    </row>
    <row r="416" spans="1:17">
      <c r="A416" s="152"/>
      <c r="B416" s="147" t="str">
        <f t="shared" si="35"/>
        <v/>
      </c>
      <c r="C416" s="152"/>
      <c r="D416" s="147" t="str">
        <f t="shared" si="34"/>
        <v/>
      </c>
      <c r="E416" s="199"/>
      <c r="F416" s="147" t="str">
        <f t="shared" si="36"/>
        <v/>
      </c>
      <c r="G416" s="196"/>
      <c r="H416" s="196"/>
      <c r="I416" s="196"/>
      <c r="J416" s="224"/>
      <c r="K416" s="223"/>
      <c r="L416" s="223"/>
      <c r="M416" s="224"/>
      <c r="N416" s="224"/>
      <c r="P416" s="142" t="str">
        <f t="shared" si="37"/>
        <v/>
      </c>
      <c r="Q416" s="142" t="str">
        <f t="shared" si="38"/>
        <v/>
      </c>
    </row>
    <row r="417" spans="1:17">
      <c r="A417" s="152"/>
      <c r="B417" s="147" t="str">
        <f t="shared" si="35"/>
        <v/>
      </c>
      <c r="C417" s="152"/>
      <c r="D417" s="147" t="str">
        <f t="shared" si="34"/>
        <v/>
      </c>
      <c r="E417" s="199"/>
      <c r="F417" s="147" t="str">
        <f t="shared" si="36"/>
        <v/>
      </c>
      <c r="G417" s="196"/>
      <c r="H417" s="196"/>
      <c r="I417" s="196"/>
      <c r="J417" s="224"/>
      <c r="K417" s="223"/>
      <c r="L417" s="223"/>
      <c r="M417" s="224"/>
      <c r="N417" s="224"/>
      <c r="P417" s="142" t="str">
        <f t="shared" si="37"/>
        <v/>
      </c>
      <c r="Q417" s="142" t="str">
        <f t="shared" si="38"/>
        <v/>
      </c>
    </row>
    <row r="418" spans="1:17">
      <c r="A418" s="152"/>
      <c r="B418" s="147" t="str">
        <f t="shared" si="35"/>
        <v/>
      </c>
      <c r="C418" s="152"/>
      <c r="D418" s="147" t="str">
        <f t="shared" si="34"/>
        <v/>
      </c>
      <c r="E418" s="199"/>
      <c r="F418" s="147" t="str">
        <f t="shared" si="36"/>
        <v/>
      </c>
      <c r="G418" s="196"/>
      <c r="H418" s="196"/>
      <c r="I418" s="196"/>
      <c r="J418" s="224"/>
      <c r="K418" s="223"/>
      <c r="L418" s="223"/>
      <c r="M418" s="224"/>
      <c r="N418" s="224"/>
      <c r="P418" s="142" t="str">
        <f t="shared" si="37"/>
        <v/>
      </c>
      <c r="Q418" s="142" t="str">
        <f t="shared" si="38"/>
        <v/>
      </c>
    </row>
    <row r="419" spans="1:17">
      <c r="A419" s="152"/>
      <c r="B419" s="147" t="str">
        <f t="shared" si="35"/>
        <v/>
      </c>
      <c r="C419" s="152"/>
      <c r="D419" s="147" t="str">
        <f t="shared" si="34"/>
        <v/>
      </c>
      <c r="E419" s="199"/>
      <c r="F419" s="147" t="str">
        <f t="shared" si="36"/>
        <v/>
      </c>
      <c r="G419" s="196"/>
      <c r="H419" s="196"/>
      <c r="I419" s="196"/>
      <c r="J419" s="224"/>
      <c r="K419" s="223"/>
      <c r="L419" s="223"/>
      <c r="M419" s="224"/>
      <c r="N419" s="224"/>
      <c r="P419" s="142" t="str">
        <f t="shared" si="37"/>
        <v/>
      </c>
      <c r="Q419" s="142" t="str">
        <f t="shared" si="38"/>
        <v/>
      </c>
    </row>
    <row r="420" spans="1:17">
      <c r="A420" s="152"/>
      <c r="B420" s="147" t="str">
        <f t="shared" si="35"/>
        <v/>
      </c>
      <c r="C420" s="152"/>
      <c r="D420" s="147" t="str">
        <f t="shared" si="34"/>
        <v/>
      </c>
      <c r="E420" s="199"/>
      <c r="F420" s="147" t="str">
        <f t="shared" si="36"/>
        <v/>
      </c>
      <c r="G420" s="196"/>
      <c r="H420" s="196"/>
      <c r="I420" s="196"/>
      <c r="J420" s="224"/>
      <c r="K420" s="223"/>
      <c r="L420" s="223"/>
      <c r="M420" s="224"/>
      <c r="N420" s="224"/>
      <c r="P420" s="142" t="str">
        <f t="shared" si="37"/>
        <v/>
      </c>
      <c r="Q420" s="142" t="str">
        <f t="shared" si="38"/>
        <v/>
      </c>
    </row>
    <row r="421" spans="1:17">
      <c r="A421" s="152"/>
      <c r="B421" s="147" t="str">
        <f t="shared" si="35"/>
        <v/>
      </c>
      <c r="C421" s="152"/>
      <c r="D421" s="147" t="str">
        <f t="shared" si="34"/>
        <v/>
      </c>
      <c r="E421" s="199"/>
      <c r="F421" s="147" t="str">
        <f t="shared" si="36"/>
        <v/>
      </c>
      <c r="G421" s="196"/>
      <c r="H421" s="196"/>
      <c r="I421" s="196"/>
      <c r="J421" s="224"/>
      <c r="K421" s="223"/>
      <c r="L421" s="223"/>
      <c r="M421" s="224"/>
      <c r="N421" s="224"/>
      <c r="P421" s="142" t="str">
        <f t="shared" si="37"/>
        <v/>
      </c>
      <c r="Q421" s="142" t="str">
        <f t="shared" si="38"/>
        <v/>
      </c>
    </row>
    <row r="422" spans="1:17">
      <c r="A422" s="152"/>
      <c r="B422" s="147" t="str">
        <f t="shared" si="35"/>
        <v/>
      </c>
      <c r="C422" s="152"/>
      <c r="D422" s="147" t="str">
        <f t="shared" si="34"/>
        <v/>
      </c>
      <c r="E422" s="199"/>
      <c r="F422" s="147" t="str">
        <f t="shared" si="36"/>
        <v/>
      </c>
      <c r="G422" s="196"/>
      <c r="H422" s="196"/>
      <c r="I422" s="196"/>
      <c r="J422" s="224"/>
      <c r="K422" s="223"/>
      <c r="L422" s="223"/>
      <c r="M422" s="224"/>
      <c r="N422" s="224"/>
      <c r="P422" s="142" t="str">
        <f t="shared" si="37"/>
        <v/>
      </c>
      <c r="Q422" s="142" t="str">
        <f t="shared" si="38"/>
        <v/>
      </c>
    </row>
    <row r="423" spans="1:17">
      <c r="A423" s="152"/>
      <c r="B423" s="147" t="str">
        <f t="shared" si="35"/>
        <v/>
      </c>
      <c r="C423" s="152"/>
      <c r="D423" s="147" t="str">
        <f t="shared" si="34"/>
        <v/>
      </c>
      <c r="E423" s="199"/>
      <c r="F423" s="147" t="str">
        <f t="shared" si="36"/>
        <v/>
      </c>
      <c r="G423" s="196"/>
      <c r="H423" s="196"/>
      <c r="I423" s="196"/>
      <c r="J423" s="224"/>
      <c r="K423" s="223"/>
      <c r="L423" s="223"/>
      <c r="M423" s="224"/>
      <c r="N423" s="224"/>
      <c r="P423" s="142" t="str">
        <f t="shared" si="37"/>
        <v/>
      </c>
      <c r="Q423" s="142" t="str">
        <f t="shared" si="38"/>
        <v/>
      </c>
    </row>
    <row r="424" spans="1:17">
      <c r="A424" s="152"/>
      <c r="B424" s="147" t="str">
        <f t="shared" si="35"/>
        <v/>
      </c>
      <c r="C424" s="152"/>
      <c r="D424" s="147" t="str">
        <f t="shared" si="34"/>
        <v/>
      </c>
      <c r="E424" s="199"/>
      <c r="F424" s="147" t="str">
        <f t="shared" si="36"/>
        <v/>
      </c>
      <c r="G424" s="196"/>
      <c r="H424" s="196"/>
      <c r="I424" s="196"/>
      <c r="J424" s="224"/>
      <c r="K424" s="223"/>
      <c r="L424" s="223"/>
      <c r="M424" s="224"/>
      <c r="N424" s="224"/>
      <c r="P424" s="142" t="str">
        <f t="shared" si="37"/>
        <v/>
      </c>
      <c r="Q424" s="142" t="str">
        <f t="shared" si="38"/>
        <v/>
      </c>
    </row>
    <row r="425" spans="1:17">
      <c r="A425" s="152"/>
      <c r="B425" s="147" t="str">
        <f t="shared" si="35"/>
        <v/>
      </c>
      <c r="C425" s="152"/>
      <c r="D425" s="147" t="str">
        <f t="shared" si="34"/>
        <v/>
      </c>
      <c r="E425" s="199"/>
      <c r="F425" s="147" t="str">
        <f t="shared" si="36"/>
        <v/>
      </c>
      <c r="G425" s="196"/>
      <c r="H425" s="196"/>
      <c r="I425" s="196"/>
      <c r="J425" s="224"/>
      <c r="K425" s="223"/>
      <c r="L425" s="223"/>
      <c r="M425" s="224"/>
      <c r="N425" s="224"/>
      <c r="P425" s="142" t="str">
        <f t="shared" si="37"/>
        <v/>
      </c>
      <c r="Q425" s="142" t="str">
        <f t="shared" si="38"/>
        <v/>
      </c>
    </row>
    <row r="426" spans="1:17">
      <c r="A426" s="152"/>
      <c r="B426" s="147" t="str">
        <f t="shared" si="35"/>
        <v/>
      </c>
      <c r="C426" s="152"/>
      <c r="D426" s="147" t="str">
        <f t="shared" si="34"/>
        <v/>
      </c>
      <c r="E426" s="199"/>
      <c r="F426" s="147" t="str">
        <f t="shared" si="36"/>
        <v/>
      </c>
      <c r="G426" s="196"/>
      <c r="H426" s="196"/>
      <c r="I426" s="196"/>
      <c r="J426" s="224"/>
      <c r="K426" s="223"/>
      <c r="L426" s="223"/>
      <c r="M426" s="224"/>
      <c r="N426" s="224"/>
      <c r="P426" s="142" t="str">
        <f t="shared" si="37"/>
        <v/>
      </c>
      <c r="Q426" s="142" t="str">
        <f t="shared" si="38"/>
        <v/>
      </c>
    </row>
    <row r="427" spans="1:17">
      <c r="A427" s="152"/>
      <c r="B427" s="147" t="str">
        <f t="shared" si="35"/>
        <v/>
      </c>
      <c r="C427" s="152"/>
      <c r="D427" s="147" t="str">
        <f t="shared" si="34"/>
        <v/>
      </c>
      <c r="E427" s="199"/>
      <c r="F427" s="147" t="str">
        <f t="shared" si="36"/>
        <v/>
      </c>
      <c r="G427" s="196"/>
      <c r="H427" s="196"/>
      <c r="I427" s="196"/>
      <c r="J427" s="224"/>
      <c r="K427" s="223"/>
      <c r="L427" s="223"/>
      <c r="M427" s="224"/>
      <c r="N427" s="224"/>
      <c r="P427" s="142" t="str">
        <f t="shared" si="37"/>
        <v/>
      </c>
      <c r="Q427" s="142" t="str">
        <f t="shared" si="38"/>
        <v/>
      </c>
    </row>
    <row r="428" spans="1:17">
      <c r="A428" s="152"/>
      <c r="B428" s="147" t="str">
        <f t="shared" si="35"/>
        <v/>
      </c>
      <c r="C428" s="152"/>
      <c r="D428" s="147" t="str">
        <f t="shared" si="34"/>
        <v/>
      </c>
      <c r="E428" s="199"/>
      <c r="F428" s="147" t="str">
        <f t="shared" si="36"/>
        <v/>
      </c>
      <c r="G428" s="196"/>
      <c r="H428" s="196"/>
      <c r="I428" s="196"/>
      <c r="J428" s="224"/>
      <c r="K428" s="223"/>
      <c r="L428" s="223"/>
      <c r="M428" s="224"/>
      <c r="N428" s="224"/>
      <c r="P428" s="142" t="str">
        <f t="shared" si="37"/>
        <v/>
      </c>
      <c r="Q428" s="142" t="str">
        <f t="shared" si="38"/>
        <v/>
      </c>
    </row>
    <row r="429" spans="1:17">
      <c r="A429" s="152"/>
      <c r="B429" s="147" t="str">
        <f t="shared" si="35"/>
        <v/>
      </c>
      <c r="C429" s="152"/>
      <c r="D429" s="147" t="str">
        <f t="shared" si="34"/>
        <v/>
      </c>
      <c r="E429" s="199"/>
      <c r="F429" s="147" t="str">
        <f t="shared" si="36"/>
        <v/>
      </c>
      <c r="G429" s="196"/>
      <c r="H429" s="196"/>
      <c r="I429" s="196"/>
      <c r="J429" s="224"/>
      <c r="K429" s="223"/>
      <c r="L429" s="223"/>
      <c r="M429" s="224"/>
      <c r="N429" s="224"/>
      <c r="P429" s="142" t="str">
        <f t="shared" si="37"/>
        <v/>
      </c>
      <c r="Q429" s="142" t="str">
        <f t="shared" si="38"/>
        <v/>
      </c>
    </row>
    <row r="430" spans="1:17">
      <c r="A430" s="152"/>
      <c r="B430" s="147" t="str">
        <f t="shared" si="35"/>
        <v/>
      </c>
      <c r="C430" s="152"/>
      <c r="D430" s="147" t="str">
        <f t="shared" si="34"/>
        <v/>
      </c>
      <c r="E430" s="199"/>
      <c r="F430" s="147" t="str">
        <f t="shared" si="36"/>
        <v/>
      </c>
      <c r="G430" s="196"/>
      <c r="H430" s="196"/>
      <c r="I430" s="196"/>
      <c r="J430" s="224"/>
      <c r="K430" s="223"/>
      <c r="L430" s="223"/>
      <c r="M430" s="224"/>
      <c r="N430" s="224"/>
      <c r="P430" s="142" t="str">
        <f t="shared" si="37"/>
        <v/>
      </c>
      <c r="Q430" s="142" t="str">
        <f t="shared" si="38"/>
        <v/>
      </c>
    </row>
    <row r="431" spans="1:17">
      <c r="A431" s="152"/>
      <c r="B431" s="147" t="str">
        <f t="shared" si="35"/>
        <v/>
      </c>
      <c r="C431" s="152"/>
      <c r="D431" s="147" t="str">
        <f t="shared" si="34"/>
        <v/>
      </c>
      <c r="E431" s="199"/>
      <c r="F431" s="147" t="str">
        <f t="shared" si="36"/>
        <v/>
      </c>
      <c r="G431" s="196"/>
      <c r="H431" s="196"/>
      <c r="I431" s="196"/>
      <c r="J431" s="224"/>
      <c r="K431" s="223"/>
      <c r="L431" s="223"/>
      <c r="M431" s="224"/>
      <c r="N431" s="224"/>
      <c r="P431" s="142" t="str">
        <f t="shared" si="37"/>
        <v/>
      </c>
      <c r="Q431" s="142" t="str">
        <f t="shared" si="38"/>
        <v/>
      </c>
    </row>
    <row r="432" spans="1:17">
      <c r="A432" s="152"/>
      <c r="B432" s="147" t="str">
        <f t="shared" si="35"/>
        <v/>
      </c>
      <c r="C432" s="152"/>
      <c r="D432" s="147" t="str">
        <f t="shared" si="34"/>
        <v/>
      </c>
      <c r="E432" s="199"/>
      <c r="F432" s="147" t="str">
        <f t="shared" si="36"/>
        <v/>
      </c>
      <c r="G432" s="196"/>
      <c r="H432" s="196"/>
      <c r="I432" s="196"/>
      <c r="J432" s="224"/>
      <c r="K432" s="223"/>
      <c r="L432" s="223"/>
      <c r="M432" s="224"/>
      <c r="N432" s="224"/>
      <c r="P432" s="142" t="str">
        <f t="shared" si="37"/>
        <v/>
      </c>
      <c r="Q432" s="142" t="str">
        <f t="shared" si="38"/>
        <v/>
      </c>
    </row>
    <row r="433" spans="1:17">
      <c r="A433" s="152"/>
      <c r="B433" s="147" t="str">
        <f t="shared" si="35"/>
        <v/>
      </c>
      <c r="C433" s="152"/>
      <c r="D433" s="147" t="str">
        <f t="shared" si="34"/>
        <v/>
      </c>
      <c r="E433" s="199"/>
      <c r="F433" s="147" t="str">
        <f t="shared" si="36"/>
        <v/>
      </c>
      <c r="G433" s="196"/>
      <c r="H433" s="196"/>
      <c r="I433" s="196"/>
      <c r="J433" s="224"/>
      <c r="K433" s="223"/>
      <c r="L433" s="223"/>
      <c r="M433" s="224"/>
      <c r="N433" s="224"/>
      <c r="P433" s="142" t="str">
        <f t="shared" si="37"/>
        <v/>
      </c>
      <c r="Q433" s="142" t="str">
        <f t="shared" si="38"/>
        <v/>
      </c>
    </row>
    <row r="434" spans="1:17">
      <c r="A434" s="152"/>
      <c r="B434" s="147" t="str">
        <f t="shared" si="35"/>
        <v/>
      </c>
      <c r="C434" s="152"/>
      <c r="D434" s="147" t="str">
        <f t="shared" si="34"/>
        <v/>
      </c>
      <c r="E434" s="199"/>
      <c r="F434" s="147" t="str">
        <f t="shared" si="36"/>
        <v/>
      </c>
      <c r="G434" s="196"/>
      <c r="H434" s="196"/>
      <c r="I434" s="196"/>
      <c r="J434" s="224"/>
      <c r="K434" s="223"/>
      <c r="L434" s="223"/>
      <c r="M434" s="224"/>
      <c r="N434" s="224"/>
      <c r="P434" s="142" t="str">
        <f t="shared" si="37"/>
        <v/>
      </c>
      <c r="Q434" s="142" t="str">
        <f t="shared" si="38"/>
        <v/>
      </c>
    </row>
    <row r="435" spans="1:17">
      <c r="A435" s="152"/>
      <c r="B435" s="147" t="str">
        <f t="shared" si="35"/>
        <v/>
      </c>
      <c r="C435" s="152"/>
      <c r="D435" s="147" t="str">
        <f t="shared" si="34"/>
        <v/>
      </c>
      <c r="E435" s="199"/>
      <c r="F435" s="147" t="str">
        <f t="shared" si="36"/>
        <v/>
      </c>
      <c r="G435" s="196"/>
      <c r="H435" s="196"/>
      <c r="I435" s="196"/>
      <c r="J435" s="224"/>
      <c r="K435" s="223"/>
      <c r="L435" s="223"/>
      <c r="M435" s="224"/>
      <c r="N435" s="224"/>
      <c r="P435" s="142" t="str">
        <f t="shared" si="37"/>
        <v/>
      </c>
      <c r="Q435" s="142" t="str">
        <f t="shared" si="38"/>
        <v/>
      </c>
    </row>
    <row r="436" spans="1:17">
      <c r="A436" s="152"/>
      <c r="B436" s="147" t="str">
        <f t="shared" si="35"/>
        <v/>
      </c>
      <c r="C436" s="152"/>
      <c r="D436" s="147" t="str">
        <f t="shared" si="34"/>
        <v/>
      </c>
      <c r="E436" s="199"/>
      <c r="F436" s="147" t="str">
        <f t="shared" si="36"/>
        <v/>
      </c>
      <c r="G436" s="196"/>
      <c r="H436" s="196"/>
      <c r="I436" s="196"/>
      <c r="J436" s="224"/>
      <c r="K436" s="223"/>
      <c r="L436" s="223"/>
      <c r="M436" s="224"/>
      <c r="N436" s="224"/>
      <c r="P436" s="142" t="str">
        <f t="shared" si="37"/>
        <v/>
      </c>
      <c r="Q436" s="142" t="str">
        <f t="shared" si="38"/>
        <v/>
      </c>
    </row>
    <row r="437" spans="1:17">
      <c r="A437" s="152"/>
      <c r="B437" s="147" t="str">
        <f t="shared" si="35"/>
        <v/>
      </c>
      <c r="C437" s="152"/>
      <c r="D437" s="147" t="str">
        <f t="shared" si="34"/>
        <v/>
      </c>
      <c r="E437" s="199"/>
      <c r="F437" s="147" t="str">
        <f t="shared" si="36"/>
        <v/>
      </c>
      <c r="G437" s="196"/>
      <c r="H437" s="196"/>
      <c r="I437" s="196"/>
      <c r="J437" s="224"/>
      <c r="K437" s="223"/>
      <c r="L437" s="223"/>
      <c r="M437" s="224"/>
      <c r="N437" s="224"/>
      <c r="P437" s="142" t="str">
        <f t="shared" si="37"/>
        <v/>
      </c>
      <c r="Q437" s="142" t="str">
        <f t="shared" si="38"/>
        <v/>
      </c>
    </row>
    <row r="438" spans="1:17">
      <c r="A438" s="152"/>
      <c r="B438" s="147" t="str">
        <f t="shared" si="35"/>
        <v/>
      </c>
      <c r="C438" s="152"/>
      <c r="D438" s="147" t="str">
        <f t="shared" si="34"/>
        <v/>
      </c>
      <c r="E438" s="199"/>
      <c r="F438" s="147" t="str">
        <f t="shared" si="36"/>
        <v/>
      </c>
      <c r="G438" s="196"/>
      <c r="H438" s="196"/>
      <c r="I438" s="196"/>
      <c r="J438" s="224"/>
      <c r="K438" s="223"/>
      <c r="L438" s="223"/>
      <c r="M438" s="224"/>
      <c r="N438" s="224"/>
      <c r="P438" s="142" t="str">
        <f t="shared" si="37"/>
        <v/>
      </c>
      <c r="Q438" s="142" t="str">
        <f t="shared" si="38"/>
        <v/>
      </c>
    </row>
    <row r="439" spans="1:17">
      <c r="A439" s="152"/>
      <c r="B439" s="147" t="str">
        <f t="shared" si="35"/>
        <v/>
      </c>
      <c r="C439" s="152"/>
      <c r="D439" s="147" t="str">
        <f t="shared" si="34"/>
        <v/>
      </c>
      <c r="E439" s="199"/>
      <c r="F439" s="147" t="str">
        <f t="shared" si="36"/>
        <v/>
      </c>
      <c r="G439" s="196"/>
      <c r="H439" s="196"/>
      <c r="I439" s="196"/>
      <c r="J439" s="224"/>
      <c r="K439" s="223"/>
      <c r="L439" s="223"/>
      <c r="M439" s="224"/>
      <c r="N439" s="224"/>
      <c r="P439" s="142" t="str">
        <f t="shared" si="37"/>
        <v/>
      </c>
      <c r="Q439" s="142" t="str">
        <f t="shared" si="38"/>
        <v/>
      </c>
    </row>
    <row r="440" spans="1:17">
      <c r="A440" s="152"/>
      <c r="B440" s="147" t="str">
        <f t="shared" si="35"/>
        <v/>
      </c>
      <c r="C440" s="152"/>
      <c r="D440" s="147" t="str">
        <f t="shared" si="34"/>
        <v/>
      </c>
      <c r="E440" s="199"/>
      <c r="F440" s="147" t="str">
        <f t="shared" si="36"/>
        <v/>
      </c>
      <c r="G440" s="196"/>
      <c r="H440" s="196"/>
      <c r="I440" s="196"/>
      <c r="J440" s="224"/>
      <c r="K440" s="223"/>
      <c r="L440" s="223"/>
      <c r="M440" s="224"/>
      <c r="N440" s="224"/>
      <c r="P440" s="142" t="str">
        <f t="shared" si="37"/>
        <v/>
      </c>
      <c r="Q440" s="142" t="str">
        <f t="shared" si="38"/>
        <v/>
      </c>
    </row>
    <row r="441" spans="1:17">
      <c r="A441" s="152"/>
      <c r="B441" s="147" t="str">
        <f t="shared" si="35"/>
        <v/>
      </c>
      <c r="C441" s="152"/>
      <c r="D441" s="147" t="str">
        <f t="shared" si="34"/>
        <v/>
      </c>
      <c r="E441" s="199"/>
      <c r="F441" s="147" t="str">
        <f t="shared" si="36"/>
        <v/>
      </c>
      <c r="G441" s="196"/>
      <c r="H441" s="196"/>
      <c r="I441" s="196"/>
      <c r="J441" s="224"/>
      <c r="K441" s="223"/>
      <c r="L441" s="223"/>
      <c r="M441" s="224"/>
      <c r="N441" s="224"/>
      <c r="P441" s="142" t="str">
        <f t="shared" si="37"/>
        <v/>
      </c>
      <c r="Q441" s="142" t="str">
        <f t="shared" si="38"/>
        <v/>
      </c>
    </row>
    <row r="442" spans="1:17">
      <c r="A442" s="152"/>
      <c r="B442" s="147" t="str">
        <f t="shared" si="35"/>
        <v/>
      </c>
      <c r="C442" s="152"/>
      <c r="D442" s="147" t="str">
        <f t="shared" si="34"/>
        <v/>
      </c>
      <c r="E442" s="199"/>
      <c r="F442" s="147" t="str">
        <f t="shared" si="36"/>
        <v/>
      </c>
      <c r="G442" s="196"/>
      <c r="H442" s="196"/>
      <c r="I442" s="196"/>
      <c r="J442" s="224"/>
      <c r="K442" s="223"/>
      <c r="L442" s="223"/>
      <c r="M442" s="224"/>
      <c r="N442" s="224"/>
      <c r="P442" s="142" t="str">
        <f t="shared" si="37"/>
        <v/>
      </c>
      <c r="Q442" s="142" t="str">
        <f t="shared" si="38"/>
        <v/>
      </c>
    </row>
    <row r="443" spans="1:17">
      <c r="A443" s="152"/>
      <c r="B443" s="147" t="str">
        <f t="shared" si="35"/>
        <v/>
      </c>
      <c r="C443" s="152"/>
      <c r="D443" s="147" t="str">
        <f t="shared" si="34"/>
        <v/>
      </c>
      <c r="E443" s="199"/>
      <c r="F443" s="147" t="str">
        <f t="shared" si="36"/>
        <v/>
      </c>
      <c r="G443" s="196"/>
      <c r="H443" s="196"/>
      <c r="I443" s="196"/>
      <c r="J443" s="224"/>
      <c r="K443" s="223"/>
      <c r="L443" s="223"/>
      <c r="M443" s="224"/>
      <c r="N443" s="224"/>
      <c r="P443" s="142" t="str">
        <f t="shared" si="37"/>
        <v/>
      </c>
      <c r="Q443" s="142" t="str">
        <f t="shared" si="38"/>
        <v/>
      </c>
    </row>
    <row r="444" spans="1:17">
      <c r="A444" s="152"/>
      <c r="B444" s="147" t="str">
        <f t="shared" si="35"/>
        <v/>
      </c>
      <c r="C444" s="152"/>
      <c r="D444" s="147" t="str">
        <f t="shared" si="34"/>
        <v/>
      </c>
      <c r="E444" s="199"/>
      <c r="F444" s="147" t="str">
        <f t="shared" si="36"/>
        <v/>
      </c>
      <c r="G444" s="196"/>
      <c r="H444" s="196"/>
      <c r="I444" s="196"/>
      <c r="J444" s="224"/>
      <c r="K444" s="223"/>
      <c r="L444" s="223"/>
      <c r="M444" s="224"/>
      <c r="N444" s="224"/>
      <c r="P444" s="142" t="str">
        <f t="shared" si="37"/>
        <v/>
      </c>
      <c r="Q444" s="142" t="str">
        <f t="shared" si="38"/>
        <v/>
      </c>
    </row>
    <row r="445" spans="1:17">
      <c r="A445" s="152"/>
      <c r="B445" s="147" t="str">
        <f t="shared" si="35"/>
        <v/>
      </c>
      <c r="C445" s="152"/>
      <c r="D445" s="147" t="str">
        <f t="shared" si="34"/>
        <v/>
      </c>
      <c r="E445" s="199"/>
      <c r="F445" s="147" t="str">
        <f t="shared" si="36"/>
        <v/>
      </c>
      <c r="G445" s="196"/>
      <c r="H445" s="196"/>
      <c r="I445" s="196"/>
      <c r="J445" s="224"/>
      <c r="K445" s="223"/>
      <c r="L445" s="223"/>
      <c r="M445" s="224"/>
      <c r="N445" s="224"/>
      <c r="P445" s="142" t="str">
        <f t="shared" si="37"/>
        <v/>
      </c>
      <c r="Q445" s="142" t="str">
        <f t="shared" si="38"/>
        <v/>
      </c>
    </row>
    <row r="446" spans="1:17">
      <c r="A446" s="152"/>
      <c r="B446" s="147" t="str">
        <f t="shared" si="35"/>
        <v/>
      </c>
      <c r="C446" s="152"/>
      <c r="D446" s="147" t="str">
        <f t="shared" si="34"/>
        <v/>
      </c>
      <c r="E446" s="199"/>
      <c r="F446" s="147" t="str">
        <f t="shared" si="36"/>
        <v/>
      </c>
      <c r="G446" s="196"/>
      <c r="H446" s="196"/>
      <c r="I446" s="196"/>
      <c r="J446" s="224"/>
      <c r="K446" s="223"/>
      <c r="L446" s="223"/>
      <c r="M446" s="224"/>
      <c r="N446" s="224"/>
      <c r="P446" s="142" t="str">
        <f t="shared" si="37"/>
        <v/>
      </c>
      <c r="Q446" s="142" t="str">
        <f t="shared" si="38"/>
        <v/>
      </c>
    </row>
    <row r="447" spans="1:17">
      <c r="A447" s="152"/>
      <c r="B447" s="147" t="str">
        <f t="shared" si="35"/>
        <v/>
      </c>
      <c r="C447" s="152"/>
      <c r="D447" s="147" t="str">
        <f t="shared" si="34"/>
        <v/>
      </c>
      <c r="E447" s="199"/>
      <c r="F447" s="147" t="str">
        <f t="shared" si="36"/>
        <v/>
      </c>
      <c r="G447" s="196"/>
      <c r="H447" s="196"/>
      <c r="I447" s="196"/>
      <c r="J447" s="224"/>
      <c r="K447" s="223"/>
      <c r="L447" s="223"/>
      <c r="M447" s="224"/>
      <c r="N447" s="224"/>
      <c r="P447" s="142" t="str">
        <f t="shared" si="37"/>
        <v/>
      </c>
      <c r="Q447" s="142" t="str">
        <f t="shared" si="38"/>
        <v/>
      </c>
    </row>
    <row r="448" spans="1:17">
      <c r="A448" s="152"/>
      <c r="B448" s="147" t="str">
        <f t="shared" si="35"/>
        <v/>
      </c>
      <c r="C448" s="152"/>
      <c r="D448" s="147" t="str">
        <f t="shared" si="34"/>
        <v/>
      </c>
      <c r="E448" s="199"/>
      <c r="F448" s="147" t="str">
        <f t="shared" si="36"/>
        <v/>
      </c>
      <c r="G448" s="196"/>
      <c r="H448" s="196"/>
      <c r="I448" s="196"/>
      <c r="J448" s="224"/>
      <c r="K448" s="223"/>
      <c r="L448" s="223"/>
      <c r="M448" s="224"/>
      <c r="N448" s="224"/>
      <c r="P448" s="142" t="str">
        <f t="shared" si="37"/>
        <v/>
      </c>
      <c r="Q448" s="142" t="str">
        <f t="shared" si="38"/>
        <v/>
      </c>
    </row>
    <row r="449" spans="1:17">
      <c r="A449" s="152"/>
      <c r="B449" s="147" t="str">
        <f t="shared" si="35"/>
        <v/>
      </c>
      <c r="C449" s="152"/>
      <c r="D449" s="147" t="str">
        <f t="shared" si="34"/>
        <v/>
      </c>
      <c r="E449" s="199"/>
      <c r="F449" s="147" t="str">
        <f t="shared" si="36"/>
        <v/>
      </c>
      <c r="G449" s="196"/>
      <c r="H449" s="196"/>
      <c r="I449" s="196"/>
      <c r="J449" s="224"/>
      <c r="K449" s="223"/>
      <c r="L449" s="223"/>
      <c r="M449" s="224"/>
      <c r="N449" s="224"/>
      <c r="P449" s="142" t="str">
        <f t="shared" si="37"/>
        <v/>
      </c>
      <c r="Q449" s="142" t="str">
        <f t="shared" si="38"/>
        <v/>
      </c>
    </row>
    <row r="450" spans="1:17">
      <c r="A450" s="152"/>
      <c r="B450" s="147" t="str">
        <f t="shared" si="35"/>
        <v/>
      </c>
      <c r="C450" s="152"/>
      <c r="D450" s="147" t="str">
        <f t="shared" si="34"/>
        <v/>
      </c>
      <c r="E450" s="199"/>
      <c r="F450" s="147" t="str">
        <f t="shared" si="36"/>
        <v/>
      </c>
      <c r="G450" s="196"/>
      <c r="H450" s="196"/>
      <c r="I450" s="196"/>
      <c r="J450" s="224"/>
      <c r="K450" s="223"/>
      <c r="L450" s="223"/>
      <c r="M450" s="224"/>
      <c r="N450" s="224"/>
      <c r="P450" s="142" t="str">
        <f t="shared" si="37"/>
        <v/>
      </c>
      <c r="Q450" s="142" t="str">
        <f t="shared" si="38"/>
        <v/>
      </c>
    </row>
    <row r="451" spans="1:17">
      <c r="A451" s="152"/>
      <c r="B451" s="147" t="str">
        <f t="shared" si="35"/>
        <v/>
      </c>
      <c r="C451" s="152"/>
      <c r="D451" s="147" t="str">
        <f t="shared" ref="D451:D501" si="39">IFERROR(VLOOKUP(C451,$U$5:$W$129,2,FALSE),"")</f>
        <v/>
      </c>
      <c r="E451" s="199"/>
      <c r="F451" s="147" t="str">
        <f t="shared" si="36"/>
        <v/>
      </c>
      <c r="G451" s="196"/>
      <c r="H451" s="196"/>
      <c r="I451" s="196"/>
      <c r="J451" s="224"/>
      <c r="K451" s="223"/>
      <c r="L451" s="223"/>
      <c r="M451" s="224"/>
      <c r="N451" s="224"/>
      <c r="P451" s="142" t="str">
        <f t="shared" si="37"/>
        <v/>
      </c>
      <c r="Q451" s="142" t="str">
        <f t="shared" si="38"/>
        <v/>
      </c>
    </row>
    <row r="452" spans="1:17">
      <c r="A452" s="152"/>
      <c r="B452" s="147" t="str">
        <f t="shared" ref="B452:B501" si="40">IFERROR(VLOOKUP(A452,$R$6:$S$22,2,FALSE),"")</f>
        <v/>
      </c>
      <c r="C452" s="152"/>
      <c r="D452" s="147" t="str">
        <f t="shared" si="39"/>
        <v/>
      </c>
      <c r="E452" s="199"/>
      <c r="F452" s="147" t="str">
        <f t="shared" ref="F452:F501" si="41">IFERROR(VLOOKUP(E452,$AA$6:$AB$239,2,FALSE),"")</f>
        <v/>
      </c>
      <c r="G452" s="196"/>
      <c r="H452" s="196"/>
      <c r="I452" s="196"/>
      <c r="J452" s="224"/>
      <c r="K452" s="223"/>
      <c r="L452" s="223"/>
      <c r="M452" s="224"/>
      <c r="N452" s="224"/>
      <c r="P452" s="142" t="str">
        <f t="shared" ref="P452:P501" si="42">LEFT(C452,3)</f>
        <v/>
      </c>
      <c r="Q452" s="142" t="str">
        <f t="shared" ref="Q452:Q501" si="43">LEFT(C452,2)</f>
        <v/>
      </c>
    </row>
    <row r="453" spans="1:17">
      <c r="A453" s="152"/>
      <c r="B453" s="147" t="str">
        <f t="shared" si="40"/>
        <v/>
      </c>
      <c r="C453" s="152"/>
      <c r="D453" s="147" t="str">
        <f t="shared" si="39"/>
        <v/>
      </c>
      <c r="E453" s="199"/>
      <c r="F453" s="147" t="str">
        <f t="shared" si="41"/>
        <v/>
      </c>
      <c r="G453" s="196"/>
      <c r="H453" s="196"/>
      <c r="I453" s="196"/>
      <c r="J453" s="224"/>
      <c r="K453" s="223"/>
      <c r="L453" s="223"/>
      <c r="M453" s="224"/>
      <c r="N453" s="224"/>
      <c r="P453" s="142" t="str">
        <f t="shared" si="42"/>
        <v/>
      </c>
      <c r="Q453" s="142" t="str">
        <f t="shared" si="43"/>
        <v/>
      </c>
    </row>
    <row r="454" spans="1:17">
      <c r="A454" s="152"/>
      <c r="B454" s="147" t="str">
        <f t="shared" si="40"/>
        <v/>
      </c>
      <c r="C454" s="152"/>
      <c r="D454" s="147" t="str">
        <f t="shared" si="39"/>
        <v/>
      </c>
      <c r="E454" s="199"/>
      <c r="F454" s="147" t="str">
        <f t="shared" si="41"/>
        <v/>
      </c>
      <c r="G454" s="196"/>
      <c r="H454" s="196"/>
      <c r="I454" s="196"/>
      <c r="J454" s="224"/>
      <c r="K454" s="223"/>
      <c r="L454" s="223"/>
      <c r="M454" s="224"/>
      <c r="N454" s="224"/>
      <c r="P454" s="142" t="str">
        <f t="shared" si="42"/>
        <v/>
      </c>
      <c r="Q454" s="142" t="str">
        <f t="shared" si="43"/>
        <v/>
      </c>
    </row>
    <row r="455" spans="1:17">
      <c r="A455" s="152"/>
      <c r="B455" s="147" t="str">
        <f t="shared" si="40"/>
        <v/>
      </c>
      <c r="C455" s="152"/>
      <c r="D455" s="147" t="str">
        <f t="shared" si="39"/>
        <v/>
      </c>
      <c r="E455" s="199"/>
      <c r="F455" s="147" t="str">
        <f t="shared" si="41"/>
        <v/>
      </c>
      <c r="G455" s="196"/>
      <c r="H455" s="196"/>
      <c r="I455" s="196"/>
      <c r="J455" s="224"/>
      <c r="K455" s="223"/>
      <c r="L455" s="223"/>
      <c r="M455" s="224"/>
      <c r="N455" s="224"/>
      <c r="P455" s="142" t="str">
        <f t="shared" si="42"/>
        <v/>
      </c>
      <c r="Q455" s="142" t="str">
        <f t="shared" si="43"/>
        <v/>
      </c>
    </row>
    <row r="456" spans="1:17">
      <c r="A456" s="152"/>
      <c r="B456" s="147" t="str">
        <f t="shared" si="40"/>
        <v/>
      </c>
      <c r="C456" s="152"/>
      <c r="D456" s="147" t="str">
        <f t="shared" si="39"/>
        <v/>
      </c>
      <c r="E456" s="199"/>
      <c r="F456" s="147" t="str">
        <f t="shared" si="41"/>
        <v/>
      </c>
      <c r="G456" s="196"/>
      <c r="H456" s="196"/>
      <c r="I456" s="196"/>
      <c r="J456" s="224"/>
      <c r="K456" s="223"/>
      <c r="L456" s="223"/>
      <c r="M456" s="224"/>
      <c r="N456" s="224"/>
      <c r="P456" s="142" t="str">
        <f t="shared" si="42"/>
        <v/>
      </c>
      <c r="Q456" s="142" t="str">
        <f t="shared" si="43"/>
        <v/>
      </c>
    </row>
    <row r="457" spans="1:17">
      <c r="A457" s="152"/>
      <c r="B457" s="147" t="str">
        <f t="shared" si="40"/>
        <v/>
      </c>
      <c r="C457" s="152"/>
      <c r="D457" s="147" t="str">
        <f t="shared" si="39"/>
        <v/>
      </c>
      <c r="E457" s="199"/>
      <c r="F457" s="147" t="str">
        <f t="shared" si="41"/>
        <v/>
      </c>
      <c r="G457" s="196"/>
      <c r="H457" s="196"/>
      <c r="I457" s="196"/>
      <c r="J457" s="224"/>
      <c r="K457" s="223"/>
      <c r="L457" s="223"/>
      <c r="M457" s="224"/>
      <c r="N457" s="224"/>
      <c r="P457" s="142" t="str">
        <f t="shared" si="42"/>
        <v/>
      </c>
      <c r="Q457" s="142" t="str">
        <f t="shared" si="43"/>
        <v/>
      </c>
    </row>
    <row r="458" spans="1:17">
      <c r="A458" s="152"/>
      <c r="B458" s="147" t="str">
        <f t="shared" si="40"/>
        <v/>
      </c>
      <c r="C458" s="152"/>
      <c r="D458" s="147" t="str">
        <f t="shared" si="39"/>
        <v/>
      </c>
      <c r="E458" s="199"/>
      <c r="F458" s="147" t="str">
        <f t="shared" si="41"/>
        <v/>
      </c>
      <c r="G458" s="196"/>
      <c r="H458" s="196"/>
      <c r="I458" s="196"/>
      <c r="J458" s="224"/>
      <c r="K458" s="223"/>
      <c r="L458" s="223"/>
      <c r="M458" s="224"/>
      <c r="N458" s="224"/>
      <c r="P458" s="142" t="str">
        <f t="shared" si="42"/>
        <v/>
      </c>
      <c r="Q458" s="142" t="str">
        <f t="shared" si="43"/>
        <v/>
      </c>
    </row>
    <row r="459" spans="1:17">
      <c r="A459" s="152"/>
      <c r="B459" s="147" t="str">
        <f t="shared" si="40"/>
        <v/>
      </c>
      <c r="C459" s="152"/>
      <c r="D459" s="147" t="str">
        <f t="shared" si="39"/>
        <v/>
      </c>
      <c r="E459" s="199"/>
      <c r="F459" s="147" t="str">
        <f t="shared" si="41"/>
        <v/>
      </c>
      <c r="G459" s="196"/>
      <c r="H459" s="196"/>
      <c r="I459" s="196"/>
      <c r="J459" s="224"/>
      <c r="K459" s="223"/>
      <c r="L459" s="223"/>
      <c r="M459" s="224"/>
      <c r="N459" s="224"/>
      <c r="P459" s="142" t="str">
        <f t="shared" si="42"/>
        <v/>
      </c>
      <c r="Q459" s="142" t="str">
        <f t="shared" si="43"/>
        <v/>
      </c>
    </row>
    <row r="460" spans="1:17">
      <c r="A460" s="152"/>
      <c r="B460" s="147" t="str">
        <f t="shared" si="40"/>
        <v/>
      </c>
      <c r="C460" s="152"/>
      <c r="D460" s="147" t="str">
        <f t="shared" si="39"/>
        <v/>
      </c>
      <c r="E460" s="199"/>
      <c r="F460" s="147" t="str">
        <f t="shared" si="41"/>
        <v/>
      </c>
      <c r="G460" s="196"/>
      <c r="H460" s="196"/>
      <c r="I460" s="196"/>
      <c r="J460" s="224"/>
      <c r="K460" s="223"/>
      <c r="L460" s="223"/>
      <c r="M460" s="224"/>
      <c r="N460" s="224"/>
      <c r="P460" s="142" t="str">
        <f t="shared" si="42"/>
        <v/>
      </c>
      <c r="Q460" s="142" t="str">
        <f t="shared" si="43"/>
        <v/>
      </c>
    </row>
    <row r="461" spans="1:17">
      <c r="A461" s="152"/>
      <c r="B461" s="147" t="str">
        <f t="shared" si="40"/>
        <v/>
      </c>
      <c r="C461" s="152"/>
      <c r="D461" s="147" t="str">
        <f t="shared" si="39"/>
        <v/>
      </c>
      <c r="E461" s="199"/>
      <c r="F461" s="147" t="str">
        <f t="shared" si="41"/>
        <v/>
      </c>
      <c r="G461" s="196"/>
      <c r="H461" s="196"/>
      <c r="I461" s="196"/>
      <c r="J461" s="224"/>
      <c r="K461" s="223"/>
      <c r="L461" s="223"/>
      <c r="M461" s="224"/>
      <c r="N461" s="224"/>
      <c r="P461" s="142" t="str">
        <f t="shared" si="42"/>
        <v/>
      </c>
      <c r="Q461" s="142" t="str">
        <f t="shared" si="43"/>
        <v/>
      </c>
    </row>
    <row r="462" spans="1:17">
      <c r="A462" s="152"/>
      <c r="B462" s="147" t="str">
        <f t="shared" si="40"/>
        <v/>
      </c>
      <c r="C462" s="152"/>
      <c r="D462" s="147" t="str">
        <f t="shared" si="39"/>
        <v/>
      </c>
      <c r="E462" s="199"/>
      <c r="F462" s="147" t="str">
        <f t="shared" si="41"/>
        <v/>
      </c>
      <c r="G462" s="196"/>
      <c r="H462" s="196"/>
      <c r="I462" s="196"/>
      <c r="J462" s="224"/>
      <c r="K462" s="223"/>
      <c r="L462" s="223"/>
      <c r="M462" s="224"/>
      <c r="N462" s="224"/>
      <c r="P462" s="142" t="str">
        <f t="shared" si="42"/>
        <v/>
      </c>
      <c r="Q462" s="142" t="str">
        <f t="shared" si="43"/>
        <v/>
      </c>
    </row>
    <row r="463" spans="1:17">
      <c r="A463" s="152"/>
      <c r="B463" s="147" t="str">
        <f t="shared" si="40"/>
        <v/>
      </c>
      <c r="C463" s="152"/>
      <c r="D463" s="147" t="str">
        <f t="shared" si="39"/>
        <v/>
      </c>
      <c r="E463" s="199"/>
      <c r="F463" s="147" t="str">
        <f t="shared" si="41"/>
        <v/>
      </c>
      <c r="G463" s="196"/>
      <c r="H463" s="196"/>
      <c r="I463" s="196"/>
      <c r="J463" s="224"/>
      <c r="K463" s="223"/>
      <c r="L463" s="223"/>
      <c r="M463" s="224"/>
      <c r="N463" s="224"/>
      <c r="P463" s="142" t="str">
        <f t="shared" si="42"/>
        <v/>
      </c>
      <c r="Q463" s="142" t="str">
        <f t="shared" si="43"/>
        <v/>
      </c>
    </row>
    <row r="464" spans="1:17">
      <c r="A464" s="152"/>
      <c r="B464" s="147" t="str">
        <f t="shared" si="40"/>
        <v/>
      </c>
      <c r="C464" s="152"/>
      <c r="D464" s="147" t="str">
        <f t="shared" si="39"/>
        <v/>
      </c>
      <c r="E464" s="199"/>
      <c r="F464" s="147" t="str">
        <f t="shared" si="41"/>
        <v/>
      </c>
      <c r="G464" s="196"/>
      <c r="H464" s="196"/>
      <c r="I464" s="196"/>
      <c r="J464" s="224"/>
      <c r="K464" s="223"/>
      <c r="L464" s="223"/>
      <c r="M464" s="224"/>
      <c r="N464" s="224"/>
      <c r="P464" s="142" t="str">
        <f t="shared" si="42"/>
        <v/>
      </c>
      <c r="Q464" s="142" t="str">
        <f t="shared" si="43"/>
        <v/>
      </c>
    </row>
    <row r="465" spans="1:17">
      <c r="A465" s="152"/>
      <c r="B465" s="147" t="str">
        <f t="shared" si="40"/>
        <v/>
      </c>
      <c r="C465" s="152"/>
      <c r="D465" s="147" t="str">
        <f t="shared" si="39"/>
        <v/>
      </c>
      <c r="E465" s="199"/>
      <c r="F465" s="147" t="str">
        <f t="shared" si="41"/>
        <v/>
      </c>
      <c r="G465" s="196"/>
      <c r="H465" s="196"/>
      <c r="I465" s="196"/>
      <c r="J465" s="224"/>
      <c r="K465" s="223"/>
      <c r="L465" s="223"/>
      <c r="M465" s="224"/>
      <c r="N465" s="224"/>
      <c r="P465" s="142" t="str">
        <f t="shared" si="42"/>
        <v/>
      </c>
      <c r="Q465" s="142" t="str">
        <f t="shared" si="43"/>
        <v/>
      </c>
    </row>
    <row r="466" spans="1:17">
      <c r="A466" s="152"/>
      <c r="B466" s="147" t="str">
        <f t="shared" si="40"/>
        <v/>
      </c>
      <c r="C466" s="152"/>
      <c r="D466" s="147" t="str">
        <f t="shared" si="39"/>
        <v/>
      </c>
      <c r="E466" s="199"/>
      <c r="F466" s="147" t="str">
        <f t="shared" si="41"/>
        <v/>
      </c>
      <c r="G466" s="196"/>
      <c r="H466" s="196"/>
      <c r="I466" s="196"/>
      <c r="J466" s="224"/>
      <c r="K466" s="223"/>
      <c r="L466" s="223"/>
      <c r="M466" s="224"/>
      <c r="N466" s="224"/>
      <c r="P466" s="142" t="str">
        <f t="shared" si="42"/>
        <v/>
      </c>
      <c r="Q466" s="142" t="str">
        <f t="shared" si="43"/>
        <v/>
      </c>
    </row>
    <row r="467" spans="1:17">
      <c r="A467" s="152"/>
      <c r="B467" s="147" t="str">
        <f t="shared" si="40"/>
        <v/>
      </c>
      <c r="C467" s="152"/>
      <c r="D467" s="147" t="str">
        <f t="shared" si="39"/>
        <v/>
      </c>
      <c r="E467" s="199"/>
      <c r="F467" s="147" t="str">
        <f t="shared" si="41"/>
        <v/>
      </c>
      <c r="G467" s="196"/>
      <c r="H467" s="196"/>
      <c r="I467" s="196"/>
      <c r="J467" s="224"/>
      <c r="K467" s="223"/>
      <c r="L467" s="223"/>
      <c r="M467" s="224"/>
      <c r="N467" s="224"/>
      <c r="P467" s="142" t="str">
        <f t="shared" si="42"/>
        <v/>
      </c>
      <c r="Q467" s="142" t="str">
        <f t="shared" si="43"/>
        <v/>
      </c>
    </row>
    <row r="468" spans="1:17">
      <c r="A468" s="152"/>
      <c r="B468" s="147" t="str">
        <f t="shared" si="40"/>
        <v/>
      </c>
      <c r="C468" s="152"/>
      <c r="D468" s="147" t="str">
        <f t="shared" si="39"/>
        <v/>
      </c>
      <c r="E468" s="199"/>
      <c r="F468" s="147" t="str">
        <f t="shared" si="41"/>
        <v/>
      </c>
      <c r="G468" s="196"/>
      <c r="H468" s="196"/>
      <c r="I468" s="196"/>
      <c r="J468" s="224"/>
      <c r="K468" s="223"/>
      <c r="L468" s="223"/>
      <c r="M468" s="224"/>
      <c r="N468" s="224"/>
      <c r="P468" s="142" t="str">
        <f t="shared" si="42"/>
        <v/>
      </c>
      <c r="Q468" s="142" t="str">
        <f t="shared" si="43"/>
        <v/>
      </c>
    </row>
    <row r="469" spans="1:17">
      <c r="A469" s="152"/>
      <c r="B469" s="147" t="str">
        <f t="shared" si="40"/>
        <v/>
      </c>
      <c r="C469" s="152"/>
      <c r="D469" s="147" t="str">
        <f t="shared" si="39"/>
        <v/>
      </c>
      <c r="E469" s="199"/>
      <c r="F469" s="147" t="str">
        <f t="shared" si="41"/>
        <v/>
      </c>
      <c r="G469" s="196"/>
      <c r="H469" s="196"/>
      <c r="I469" s="196"/>
      <c r="J469" s="224"/>
      <c r="K469" s="223"/>
      <c r="L469" s="223"/>
      <c r="M469" s="224"/>
      <c r="N469" s="224"/>
      <c r="P469" s="142" t="str">
        <f t="shared" si="42"/>
        <v/>
      </c>
      <c r="Q469" s="142" t="str">
        <f t="shared" si="43"/>
        <v/>
      </c>
    </row>
    <row r="470" spans="1:17">
      <c r="A470" s="152"/>
      <c r="B470" s="147" t="str">
        <f t="shared" si="40"/>
        <v/>
      </c>
      <c r="C470" s="152"/>
      <c r="D470" s="147" t="str">
        <f t="shared" si="39"/>
        <v/>
      </c>
      <c r="E470" s="199"/>
      <c r="F470" s="147" t="str">
        <f t="shared" si="41"/>
        <v/>
      </c>
      <c r="G470" s="196"/>
      <c r="H470" s="196"/>
      <c r="I470" s="196"/>
      <c r="J470" s="224"/>
      <c r="K470" s="223"/>
      <c r="L470" s="223"/>
      <c r="M470" s="224"/>
      <c r="N470" s="224"/>
      <c r="P470" s="142" t="str">
        <f t="shared" si="42"/>
        <v/>
      </c>
      <c r="Q470" s="142" t="str">
        <f t="shared" si="43"/>
        <v/>
      </c>
    </row>
    <row r="471" spans="1:17">
      <c r="A471" s="152"/>
      <c r="B471" s="147" t="str">
        <f t="shared" si="40"/>
        <v/>
      </c>
      <c r="C471" s="152"/>
      <c r="D471" s="147" t="str">
        <f t="shared" si="39"/>
        <v/>
      </c>
      <c r="E471" s="199"/>
      <c r="F471" s="147" t="str">
        <f t="shared" si="41"/>
        <v/>
      </c>
      <c r="G471" s="196"/>
      <c r="H471" s="196"/>
      <c r="I471" s="196"/>
      <c r="J471" s="224"/>
      <c r="K471" s="223"/>
      <c r="L471" s="223"/>
      <c r="M471" s="224"/>
      <c r="N471" s="224"/>
      <c r="P471" s="142" t="str">
        <f t="shared" si="42"/>
        <v/>
      </c>
      <c r="Q471" s="142" t="str">
        <f t="shared" si="43"/>
        <v/>
      </c>
    </row>
    <row r="472" spans="1:17">
      <c r="A472" s="152"/>
      <c r="B472" s="147" t="str">
        <f t="shared" si="40"/>
        <v/>
      </c>
      <c r="C472" s="152"/>
      <c r="D472" s="147" t="str">
        <f t="shared" si="39"/>
        <v/>
      </c>
      <c r="E472" s="199"/>
      <c r="F472" s="147" t="str">
        <f t="shared" si="41"/>
        <v/>
      </c>
      <c r="G472" s="196"/>
      <c r="H472" s="196"/>
      <c r="I472" s="196"/>
      <c r="J472" s="224"/>
      <c r="K472" s="223"/>
      <c r="L472" s="223"/>
      <c r="M472" s="224"/>
      <c r="N472" s="224"/>
      <c r="P472" s="142" t="str">
        <f t="shared" si="42"/>
        <v/>
      </c>
      <c r="Q472" s="142" t="str">
        <f t="shared" si="43"/>
        <v/>
      </c>
    </row>
    <row r="473" spans="1:17">
      <c r="A473" s="152"/>
      <c r="B473" s="147" t="str">
        <f t="shared" si="40"/>
        <v/>
      </c>
      <c r="C473" s="152"/>
      <c r="D473" s="147" t="str">
        <f t="shared" si="39"/>
        <v/>
      </c>
      <c r="E473" s="199"/>
      <c r="F473" s="147" t="str">
        <f t="shared" si="41"/>
        <v/>
      </c>
      <c r="G473" s="196"/>
      <c r="H473" s="196"/>
      <c r="I473" s="196"/>
      <c r="J473" s="224"/>
      <c r="K473" s="223"/>
      <c r="L473" s="223"/>
      <c r="M473" s="224"/>
      <c r="N473" s="224"/>
      <c r="P473" s="142" t="str">
        <f t="shared" si="42"/>
        <v/>
      </c>
      <c r="Q473" s="142" t="str">
        <f t="shared" si="43"/>
        <v/>
      </c>
    </row>
    <row r="474" spans="1:17">
      <c r="A474" s="152"/>
      <c r="B474" s="147" t="str">
        <f t="shared" si="40"/>
        <v/>
      </c>
      <c r="C474" s="152"/>
      <c r="D474" s="147" t="str">
        <f t="shared" si="39"/>
        <v/>
      </c>
      <c r="E474" s="199"/>
      <c r="F474" s="147" t="str">
        <f t="shared" si="41"/>
        <v/>
      </c>
      <c r="G474" s="196"/>
      <c r="H474" s="196"/>
      <c r="I474" s="196"/>
      <c r="J474" s="224"/>
      <c r="K474" s="223"/>
      <c r="L474" s="223"/>
      <c r="M474" s="224"/>
      <c r="N474" s="224"/>
      <c r="P474" s="142" t="str">
        <f t="shared" si="42"/>
        <v/>
      </c>
      <c r="Q474" s="142" t="str">
        <f t="shared" si="43"/>
        <v/>
      </c>
    </row>
    <row r="475" spans="1:17">
      <c r="A475" s="152"/>
      <c r="B475" s="147" t="str">
        <f t="shared" si="40"/>
        <v/>
      </c>
      <c r="C475" s="152"/>
      <c r="D475" s="147" t="str">
        <f t="shared" si="39"/>
        <v/>
      </c>
      <c r="E475" s="199"/>
      <c r="F475" s="147" t="str">
        <f t="shared" si="41"/>
        <v/>
      </c>
      <c r="G475" s="196"/>
      <c r="H475" s="196"/>
      <c r="I475" s="196"/>
      <c r="J475" s="224"/>
      <c r="K475" s="223"/>
      <c r="L475" s="223"/>
      <c r="M475" s="224"/>
      <c r="N475" s="224"/>
      <c r="P475" s="142" t="str">
        <f t="shared" si="42"/>
        <v/>
      </c>
      <c r="Q475" s="142" t="str">
        <f t="shared" si="43"/>
        <v/>
      </c>
    </row>
    <row r="476" spans="1:17">
      <c r="A476" s="152"/>
      <c r="B476" s="147" t="str">
        <f t="shared" si="40"/>
        <v/>
      </c>
      <c r="C476" s="152"/>
      <c r="D476" s="147" t="str">
        <f t="shared" si="39"/>
        <v/>
      </c>
      <c r="E476" s="199"/>
      <c r="F476" s="147" t="str">
        <f t="shared" si="41"/>
        <v/>
      </c>
      <c r="G476" s="196"/>
      <c r="H476" s="196"/>
      <c r="I476" s="196"/>
      <c r="J476" s="224"/>
      <c r="K476" s="223"/>
      <c r="L476" s="223"/>
      <c r="M476" s="224"/>
      <c r="N476" s="224"/>
      <c r="P476" s="142" t="str">
        <f t="shared" si="42"/>
        <v/>
      </c>
      <c r="Q476" s="142" t="str">
        <f t="shared" si="43"/>
        <v/>
      </c>
    </row>
    <row r="477" spans="1:17">
      <c r="A477" s="152"/>
      <c r="B477" s="147" t="str">
        <f t="shared" si="40"/>
        <v/>
      </c>
      <c r="C477" s="152"/>
      <c r="D477" s="147" t="str">
        <f t="shared" si="39"/>
        <v/>
      </c>
      <c r="E477" s="199"/>
      <c r="F477" s="147" t="str">
        <f t="shared" si="41"/>
        <v/>
      </c>
      <c r="G477" s="196"/>
      <c r="H477" s="196"/>
      <c r="I477" s="196"/>
      <c r="J477" s="224"/>
      <c r="K477" s="223"/>
      <c r="L477" s="223"/>
      <c r="M477" s="224"/>
      <c r="N477" s="224"/>
      <c r="P477" s="142" t="str">
        <f t="shared" si="42"/>
        <v/>
      </c>
      <c r="Q477" s="142" t="str">
        <f t="shared" si="43"/>
        <v/>
      </c>
    </row>
    <row r="478" spans="1:17">
      <c r="A478" s="152"/>
      <c r="B478" s="147" t="str">
        <f t="shared" si="40"/>
        <v/>
      </c>
      <c r="C478" s="152"/>
      <c r="D478" s="147" t="str">
        <f t="shared" si="39"/>
        <v/>
      </c>
      <c r="E478" s="199"/>
      <c r="F478" s="147" t="str">
        <f t="shared" si="41"/>
        <v/>
      </c>
      <c r="G478" s="196"/>
      <c r="H478" s="196"/>
      <c r="I478" s="196"/>
      <c r="J478" s="224"/>
      <c r="K478" s="223"/>
      <c r="L478" s="223"/>
      <c r="M478" s="224"/>
      <c r="N478" s="224"/>
      <c r="P478" s="142" t="str">
        <f t="shared" si="42"/>
        <v/>
      </c>
      <c r="Q478" s="142" t="str">
        <f t="shared" si="43"/>
        <v/>
      </c>
    </row>
    <row r="479" spans="1:17">
      <c r="A479" s="152"/>
      <c r="B479" s="147" t="str">
        <f t="shared" si="40"/>
        <v/>
      </c>
      <c r="C479" s="152"/>
      <c r="D479" s="147" t="str">
        <f t="shared" si="39"/>
        <v/>
      </c>
      <c r="E479" s="199"/>
      <c r="F479" s="147" t="str">
        <f t="shared" si="41"/>
        <v/>
      </c>
      <c r="G479" s="196"/>
      <c r="H479" s="196"/>
      <c r="I479" s="196"/>
      <c r="J479" s="224"/>
      <c r="K479" s="223"/>
      <c r="L479" s="223"/>
      <c r="M479" s="224"/>
      <c r="N479" s="224"/>
      <c r="P479" s="142" t="str">
        <f t="shared" si="42"/>
        <v/>
      </c>
      <c r="Q479" s="142" t="str">
        <f t="shared" si="43"/>
        <v/>
      </c>
    </row>
    <row r="480" spans="1:17">
      <c r="A480" s="152"/>
      <c r="B480" s="147" t="str">
        <f t="shared" si="40"/>
        <v/>
      </c>
      <c r="C480" s="152"/>
      <c r="D480" s="147" t="str">
        <f t="shared" si="39"/>
        <v/>
      </c>
      <c r="E480" s="199"/>
      <c r="F480" s="147" t="str">
        <f t="shared" si="41"/>
        <v/>
      </c>
      <c r="G480" s="196"/>
      <c r="H480" s="196"/>
      <c r="I480" s="196"/>
      <c r="J480" s="224"/>
      <c r="K480" s="223"/>
      <c r="L480" s="223"/>
      <c r="M480" s="224"/>
      <c r="N480" s="224"/>
      <c r="P480" s="142" t="str">
        <f t="shared" si="42"/>
        <v/>
      </c>
      <c r="Q480" s="142" t="str">
        <f t="shared" si="43"/>
        <v/>
      </c>
    </row>
    <row r="481" spans="1:17">
      <c r="A481" s="152"/>
      <c r="B481" s="147" t="str">
        <f t="shared" si="40"/>
        <v/>
      </c>
      <c r="C481" s="152"/>
      <c r="D481" s="147" t="str">
        <f t="shared" si="39"/>
        <v/>
      </c>
      <c r="E481" s="199"/>
      <c r="F481" s="147" t="str">
        <f t="shared" si="41"/>
        <v/>
      </c>
      <c r="G481" s="196"/>
      <c r="H481" s="196"/>
      <c r="I481" s="196"/>
      <c r="J481" s="224"/>
      <c r="K481" s="223"/>
      <c r="L481" s="223"/>
      <c r="M481" s="224"/>
      <c r="N481" s="224"/>
      <c r="P481" s="142" t="str">
        <f t="shared" si="42"/>
        <v/>
      </c>
      <c r="Q481" s="142" t="str">
        <f t="shared" si="43"/>
        <v/>
      </c>
    </row>
    <row r="482" spans="1:17">
      <c r="A482" s="152"/>
      <c r="B482" s="147" t="str">
        <f t="shared" si="40"/>
        <v/>
      </c>
      <c r="C482" s="152"/>
      <c r="D482" s="147" t="str">
        <f t="shared" si="39"/>
        <v/>
      </c>
      <c r="E482" s="199"/>
      <c r="F482" s="147" t="str">
        <f t="shared" si="41"/>
        <v/>
      </c>
      <c r="G482" s="196"/>
      <c r="H482" s="196"/>
      <c r="I482" s="196"/>
      <c r="J482" s="224"/>
      <c r="K482" s="223"/>
      <c r="L482" s="223"/>
      <c r="M482" s="224"/>
      <c r="N482" s="224"/>
      <c r="P482" s="142" t="str">
        <f t="shared" si="42"/>
        <v/>
      </c>
      <c r="Q482" s="142" t="str">
        <f t="shared" si="43"/>
        <v/>
      </c>
    </row>
    <row r="483" spans="1:17">
      <c r="A483" s="152"/>
      <c r="B483" s="147" t="str">
        <f t="shared" si="40"/>
        <v/>
      </c>
      <c r="C483" s="152"/>
      <c r="D483" s="147" t="str">
        <f t="shared" si="39"/>
        <v/>
      </c>
      <c r="E483" s="199"/>
      <c r="F483" s="147" t="str">
        <f t="shared" si="41"/>
        <v/>
      </c>
      <c r="G483" s="196"/>
      <c r="H483" s="196"/>
      <c r="I483" s="196"/>
      <c r="J483" s="224"/>
      <c r="K483" s="223"/>
      <c r="L483" s="223"/>
      <c r="M483" s="224"/>
      <c r="N483" s="224"/>
      <c r="P483" s="142" t="str">
        <f t="shared" si="42"/>
        <v/>
      </c>
      <c r="Q483" s="142" t="str">
        <f t="shared" si="43"/>
        <v/>
      </c>
    </row>
    <row r="484" spans="1:17">
      <c r="A484" s="152"/>
      <c r="B484" s="147" t="str">
        <f t="shared" si="40"/>
        <v/>
      </c>
      <c r="C484" s="152"/>
      <c r="D484" s="147" t="str">
        <f t="shared" si="39"/>
        <v/>
      </c>
      <c r="E484" s="199"/>
      <c r="F484" s="147" t="str">
        <f t="shared" si="41"/>
        <v/>
      </c>
      <c r="G484" s="196"/>
      <c r="H484" s="196"/>
      <c r="I484" s="196"/>
      <c r="J484" s="224"/>
      <c r="K484" s="223"/>
      <c r="L484" s="223"/>
      <c r="M484" s="224"/>
      <c r="N484" s="224"/>
      <c r="P484" s="142" t="str">
        <f t="shared" si="42"/>
        <v/>
      </c>
      <c r="Q484" s="142" t="str">
        <f t="shared" si="43"/>
        <v/>
      </c>
    </row>
    <row r="485" spans="1:17">
      <c r="A485" s="152"/>
      <c r="B485" s="147" t="str">
        <f t="shared" si="40"/>
        <v/>
      </c>
      <c r="C485" s="152"/>
      <c r="D485" s="147" t="str">
        <f t="shared" si="39"/>
        <v/>
      </c>
      <c r="E485" s="199"/>
      <c r="F485" s="147" t="str">
        <f t="shared" si="41"/>
        <v/>
      </c>
      <c r="G485" s="196"/>
      <c r="H485" s="196"/>
      <c r="I485" s="196"/>
      <c r="J485" s="224"/>
      <c r="K485" s="223"/>
      <c r="L485" s="223"/>
      <c r="M485" s="224"/>
      <c r="N485" s="224"/>
      <c r="P485" s="142" t="str">
        <f t="shared" si="42"/>
        <v/>
      </c>
      <c r="Q485" s="142" t="str">
        <f t="shared" si="43"/>
        <v/>
      </c>
    </row>
    <row r="486" spans="1:17">
      <c r="A486" s="152"/>
      <c r="B486" s="147" t="str">
        <f t="shared" si="40"/>
        <v/>
      </c>
      <c r="C486" s="152"/>
      <c r="D486" s="147" t="str">
        <f t="shared" si="39"/>
        <v/>
      </c>
      <c r="E486" s="199"/>
      <c r="F486" s="147" t="str">
        <f t="shared" si="41"/>
        <v/>
      </c>
      <c r="G486" s="196"/>
      <c r="H486" s="196"/>
      <c r="I486" s="196"/>
      <c r="J486" s="224"/>
      <c r="K486" s="223"/>
      <c r="L486" s="223"/>
      <c r="M486" s="224"/>
      <c r="N486" s="224"/>
      <c r="P486" s="142" t="str">
        <f t="shared" si="42"/>
        <v/>
      </c>
      <c r="Q486" s="142" t="str">
        <f t="shared" si="43"/>
        <v/>
      </c>
    </row>
    <row r="487" spans="1:17">
      <c r="A487" s="152"/>
      <c r="B487" s="147" t="str">
        <f t="shared" si="40"/>
        <v/>
      </c>
      <c r="C487" s="152"/>
      <c r="D487" s="147" t="str">
        <f t="shared" si="39"/>
        <v/>
      </c>
      <c r="E487" s="199"/>
      <c r="F487" s="147" t="str">
        <f t="shared" si="41"/>
        <v/>
      </c>
      <c r="G487" s="196"/>
      <c r="H487" s="196"/>
      <c r="I487" s="196"/>
      <c r="J487" s="224"/>
      <c r="K487" s="223"/>
      <c r="L487" s="223"/>
      <c r="M487" s="224"/>
      <c r="N487" s="224"/>
      <c r="P487" s="142" t="str">
        <f t="shared" si="42"/>
        <v/>
      </c>
      <c r="Q487" s="142" t="str">
        <f t="shared" si="43"/>
        <v/>
      </c>
    </row>
    <row r="488" spans="1:17">
      <c r="A488" s="152"/>
      <c r="B488" s="147" t="str">
        <f t="shared" si="40"/>
        <v/>
      </c>
      <c r="C488" s="152"/>
      <c r="D488" s="147" t="str">
        <f t="shared" si="39"/>
        <v/>
      </c>
      <c r="E488" s="199"/>
      <c r="F488" s="147" t="str">
        <f t="shared" si="41"/>
        <v/>
      </c>
      <c r="G488" s="196"/>
      <c r="H488" s="196"/>
      <c r="I488" s="196"/>
      <c r="J488" s="224"/>
      <c r="K488" s="223"/>
      <c r="L488" s="223"/>
      <c r="M488" s="224"/>
      <c r="N488" s="224"/>
      <c r="P488" s="142" t="str">
        <f t="shared" si="42"/>
        <v/>
      </c>
      <c r="Q488" s="142" t="str">
        <f t="shared" si="43"/>
        <v/>
      </c>
    </row>
    <row r="489" spans="1:17">
      <c r="A489" s="152"/>
      <c r="B489" s="147" t="str">
        <f t="shared" si="40"/>
        <v/>
      </c>
      <c r="C489" s="152"/>
      <c r="D489" s="147" t="str">
        <f t="shared" si="39"/>
        <v/>
      </c>
      <c r="E489" s="199"/>
      <c r="F489" s="147" t="str">
        <f t="shared" si="41"/>
        <v/>
      </c>
      <c r="G489" s="196"/>
      <c r="H489" s="196"/>
      <c r="I489" s="196"/>
      <c r="J489" s="224"/>
      <c r="K489" s="223"/>
      <c r="L489" s="223"/>
      <c r="M489" s="224"/>
      <c r="N489" s="224"/>
      <c r="P489" s="142" t="str">
        <f t="shared" si="42"/>
        <v/>
      </c>
      <c r="Q489" s="142" t="str">
        <f t="shared" si="43"/>
        <v/>
      </c>
    </row>
    <row r="490" spans="1:17">
      <c r="A490" s="152"/>
      <c r="B490" s="147" t="str">
        <f t="shared" si="40"/>
        <v/>
      </c>
      <c r="C490" s="152"/>
      <c r="D490" s="147" t="str">
        <f t="shared" si="39"/>
        <v/>
      </c>
      <c r="E490" s="199"/>
      <c r="F490" s="147" t="str">
        <f t="shared" si="41"/>
        <v/>
      </c>
      <c r="G490" s="196"/>
      <c r="H490" s="196"/>
      <c r="I490" s="196"/>
      <c r="J490" s="224"/>
      <c r="K490" s="223"/>
      <c r="L490" s="223"/>
      <c r="M490" s="224"/>
      <c r="N490" s="224"/>
      <c r="P490" s="142" t="str">
        <f t="shared" si="42"/>
        <v/>
      </c>
      <c r="Q490" s="142" t="str">
        <f t="shared" si="43"/>
        <v/>
      </c>
    </row>
    <row r="491" spans="1:17">
      <c r="A491" s="152"/>
      <c r="B491" s="147" t="str">
        <f t="shared" si="40"/>
        <v/>
      </c>
      <c r="C491" s="152"/>
      <c r="D491" s="147" t="str">
        <f t="shared" si="39"/>
        <v/>
      </c>
      <c r="E491" s="199"/>
      <c r="F491" s="147" t="str">
        <f t="shared" si="41"/>
        <v/>
      </c>
      <c r="G491" s="196"/>
      <c r="H491" s="196"/>
      <c r="I491" s="196"/>
      <c r="J491" s="224"/>
      <c r="K491" s="223"/>
      <c r="L491" s="223"/>
      <c r="M491" s="224"/>
      <c r="N491" s="224"/>
      <c r="P491" s="142" t="str">
        <f t="shared" si="42"/>
        <v/>
      </c>
      <c r="Q491" s="142" t="str">
        <f t="shared" si="43"/>
        <v/>
      </c>
    </row>
    <row r="492" spans="1:17">
      <c r="A492" s="152"/>
      <c r="B492" s="147" t="str">
        <f t="shared" si="40"/>
        <v/>
      </c>
      <c r="C492" s="152"/>
      <c r="D492" s="147" t="str">
        <f t="shared" si="39"/>
        <v/>
      </c>
      <c r="E492" s="199"/>
      <c r="F492" s="147" t="str">
        <f t="shared" si="41"/>
        <v/>
      </c>
      <c r="G492" s="196"/>
      <c r="H492" s="196"/>
      <c r="I492" s="196"/>
      <c r="J492" s="224"/>
      <c r="K492" s="223"/>
      <c r="L492" s="223"/>
      <c r="M492" s="224"/>
      <c r="N492" s="224"/>
      <c r="P492" s="142" t="str">
        <f t="shared" si="42"/>
        <v/>
      </c>
      <c r="Q492" s="142" t="str">
        <f t="shared" si="43"/>
        <v/>
      </c>
    </row>
    <row r="493" spans="1:17">
      <c r="A493" s="152"/>
      <c r="B493" s="147" t="str">
        <f t="shared" si="40"/>
        <v/>
      </c>
      <c r="C493" s="152"/>
      <c r="D493" s="147" t="str">
        <f t="shared" si="39"/>
        <v/>
      </c>
      <c r="E493" s="199"/>
      <c r="F493" s="147" t="str">
        <f t="shared" si="41"/>
        <v/>
      </c>
      <c r="G493" s="196"/>
      <c r="H493" s="196"/>
      <c r="I493" s="196"/>
      <c r="J493" s="224"/>
      <c r="K493" s="223"/>
      <c r="L493" s="223"/>
      <c r="M493" s="224"/>
      <c r="N493" s="224"/>
      <c r="P493" s="142" t="str">
        <f t="shared" si="42"/>
        <v/>
      </c>
      <c r="Q493" s="142" t="str">
        <f t="shared" si="43"/>
        <v/>
      </c>
    </row>
    <row r="494" spans="1:17">
      <c r="A494" s="152"/>
      <c r="B494" s="147" t="str">
        <f t="shared" si="40"/>
        <v/>
      </c>
      <c r="C494" s="152"/>
      <c r="D494" s="147" t="str">
        <f t="shared" si="39"/>
        <v/>
      </c>
      <c r="E494" s="199"/>
      <c r="F494" s="147" t="str">
        <f t="shared" si="41"/>
        <v/>
      </c>
      <c r="G494" s="196"/>
      <c r="H494" s="196"/>
      <c r="I494" s="196"/>
      <c r="J494" s="224"/>
      <c r="K494" s="223"/>
      <c r="L494" s="223"/>
      <c r="M494" s="224"/>
      <c r="N494" s="224"/>
      <c r="P494" s="142" t="str">
        <f t="shared" si="42"/>
        <v/>
      </c>
      <c r="Q494" s="142" t="str">
        <f t="shared" si="43"/>
        <v/>
      </c>
    </row>
    <row r="495" spans="1:17">
      <c r="A495" s="152"/>
      <c r="B495" s="147" t="str">
        <f t="shared" si="40"/>
        <v/>
      </c>
      <c r="C495" s="152"/>
      <c r="D495" s="147" t="str">
        <f t="shared" si="39"/>
        <v/>
      </c>
      <c r="E495" s="199"/>
      <c r="F495" s="147" t="str">
        <f t="shared" si="41"/>
        <v/>
      </c>
      <c r="G495" s="196"/>
      <c r="H495" s="196"/>
      <c r="I495" s="196"/>
      <c r="J495" s="224"/>
      <c r="K495" s="223"/>
      <c r="L495" s="223"/>
      <c r="M495" s="224"/>
      <c r="N495" s="224"/>
      <c r="P495" s="142" t="str">
        <f t="shared" si="42"/>
        <v/>
      </c>
      <c r="Q495" s="142" t="str">
        <f t="shared" si="43"/>
        <v/>
      </c>
    </row>
    <row r="496" spans="1:17">
      <c r="A496" s="152"/>
      <c r="B496" s="147" t="str">
        <f t="shared" si="40"/>
        <v/>
      </c>
      <c r="C496" s="152"/>
      <c r="D496" s="147" t="str">
        <f t="shared" si="39"/>
        <v/>
      </c>
      <c r="E496" s="199"/>
      <c r="F496" s="147" t="str">
        <f t="shared" si="41"/>
        <v/>
      </c>
      <c r="G496" s="196"/>
      <c r="H496" s="196"/>
      <c r="I496" s="196"/>
      <c r="J496" s="224"/>
      <c r="K496" s="223"/>
      <c r="L496" s="223"/>
      <c r="M496" s="224"/>
      <c r="N496" s="224"/>
      <c r="P496" s="142" t="str">
        <f t="shared" si="42"/>
        <v/>
      </c>
      <c r="Q496" s="142" t="str">
        <f t="shared" si="43"/>
        <v/>
      </c>
    </row>
    <row r="497" spans="1:17">
      <c r="A497" s="152"/>
      <c r="B497" s="147" t="str">
        <f t="shared" si="40"/>
        <v/>
      </c>
      <c r="C497" s="152"/>
      <c r="D497" s="147" t="str">
        <f t="shared" si="39"/>
        <v/>
      </c>
      <c r="E497" s="199"/>
      <c r="F497" s="147" t="str">
        <f t="shared" si="41"/>
        <v/>
      </c>
      <c r="G497" s="196"/>
      <c r="H497" s="196"/>
      <c r="I497" s="196"/>
      <c r="J497" s="224"/>
      <c r="K497" s="223"/>
      <c r="L497" s="223"/>
      <c r="M497" s="224"/>
      <c r="N497" s="224"/>
      <c r="P497" s="142" t="str">
        <f t="shared" si="42"/>
        <v/>
      </c>
      <c r="Q497" s="142" t="str">
        <f t="shared" si="43"/>
        <v/>
      </c>
    </row>
    <row r="498" spans="1:17">
      <c r="A498" s="152"/>
      <c r="B498" s="147" t="str">
        <f t="shared" si="40"/>
        <v/>
      </c>
      <c r="C498" s="152"/>
      <c r="D498" s="147" t="str">
        <f t="shared" si="39"/>
        <v/>
      </c>
      <c r="E498" s="199"/>
      <c r="F498" s="147" t="str">
        <f t="shared" si="41"/>
        <v/>
      </c>
      <c r="G498" s="196"/>
      <c r="H498" s="196"/>
      <c r="I498" s="196"/>
      <c r="J498" s="224"/>
      <c r="K498" s="223"/>
      <c r="L498" s="223"/>
      <c r="M498" s="224"/>
      <c r="N498" s="224"/>
      <c r="P498" s="142" t="str">
        <f t="shared" si="42"/>
        <v/>
      </c>
      <c r="Q498" s="142" t="str">
        <f t="shared" si="43"/>
        <v/>
      </c>
    </row>
    <row r="499" spans="1:17">
      <c r="A499" s="152"/>
      <c r="B499" s="147" t="str">
        <f t="shared" si="40"/>
        <v/>
      </c>
      <c r="C499" s="152"/>
      <c r="D499" s="147" t="str">
        <f t="shared" si="39"/>
        <v/>
      </c>
      <c r="E499" s="199"/>
      <c r="F499" s="147" t="str">
        <f t="shared" si="41"/>
        <v/>
      </c>
      <c r="G499" s="196"/>
      <c r="H499" s="196"/>
      <c r="I499" s="196"/>
      <c r="J499" s="224"/>
      <c r="K499" s="223"/>
      <c r="L499" s="223"/>
      <c r="M499" s="224"/>
      <c r="N499" s="224"/>
      <c r="P499" s="142" t="str">
        <f t="shared" si="42"/>
        <v/>
      </c>
      <c r="Q499" s="142" t="str">
        <f t="shared" si="43"/>
        <v/>
      </c>
    </row>
    <row r="500" spans="1:17">
      <c r="A500" s="152"/>
      <c r="B500" s="147" t="str">
        <f t="shared" si="40"/>
        <v/>
      </c>
      <c r="C500" s="152"/>
      <c r="D500" s="147" t="str">
        <f t="shared" si="39"/>
        <v/>
      </c>
      <c r="E500" s="199"/>
      <c r="F500" s="147" t="str">
        <f t="shared" si="41"/>
        <v/>
      </c>
      <c r="G500" s="196"/>
      <c r="H500" s="196"/>
      <c r="I500" s="196"/>
      <c r="J500" s="224"/>
      <c r="K500" s="223"/>
      <c r="L500" s="223"/>
      <c r="M500" s="224"/>
      <c r="N500" s="224"/>
      <c r="P500" s="142" t="str">
        <f t="shared" si="42"/>
        <v/>
      </c>
      <c r="Q500" s="142" t="str">
        <f t="shared" si="43"/>
        <v/>
      </c>
    </row>
    <row r="501" spans="1:17">
      <c r="A501" s="152"/>
      <c r="B501" s="147" t="str">
        <f t="shared" si="40"/>
        <v/>
      </c>
      <c r="C501" s="152"/>
      <c r="D501" s="147" t="str">
        <f t="shared" si="39"/>
        <v/>
      </c>
      <c r="E501" s="199"/>
      <c r="F501" s="147" t="str">
        <f t="shared" si="41"/>
        <v/>
      </c>
      <c r="G501" s="196"/>
      <c r="H501" s="196"/>
      <c r="I501" s="196"/>
      <c r="J501" s="224"/>
      <c r="K501" s="223"/>
      <c r="L501" s="223"/>
      <c r="M501" s="224"/>
      <c r="N501" s="224"/>
      <c r="P501" s="142" t="str">
        <f t="shared" si="42"/>
        <v/>
      </c>
      <c r="Q501" s="142" t="str">
        <f t="shared" si="43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6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6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600-000002000000}">
      <formula1>$R$6:$R$22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600-000003000000}">
      <formula1>$AA$6:$AA$239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98"/>
  <sheetViews>
    <sheetView topLeftCell="A78" workbookViewId="0">
      <selection activeCell="B87" sqref="B87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0" t="s">
        <v>1258</v>
      </c>
      <c r="B1" s="231" t="s">
        <v>656</v>
      </c>
    </row>
    <row r="2" spans="1:2" s="238" customFormat="1">
      <c r="A2" s="236" t="s">
        <v>1294</v>
      </c>
      <c r="B2" s="237" t="s">
        <v>1295</v>
      </c>
    </row>
    <row r="3" spans="1:2">
      <c r="A3" s="228" t="s">
        <v>1290</v>
      </c>
      <c r="B3" s="229" t="s">
        <v>1291</v>
      </c>
    </row>
    <row r="4" spans="1:2">
      <c r="A4" s="232" t="s">
        <v>1292</v>
      </c>
      <c r="B4" s="233" t="s">
        <v>1293</v>
      </c>
    </row>
    <row r="5" spans="1:2">
      <c r="A5" s="234" t="s">
        <v>1296</v>
      </c>
      <c r="B5" s="235" t="s">
        <v>1297</v>
      </c>
    </row>
    <row r="6" spans="1:2">
      <c r="A6" s="234" t="s">
        <v>1298</v>
      </c>
      <c r="B6" s="235" t="s">
        <v>1299</v>
      </c>
    </row>
    <row r="7" spans="1:2">
      <c r="A7" s="234" t="s">
        <v>1300</v>
      </c>
      <c r="B7" s="235" t="s">
        <v>1301</v>
      </c>
    </row>
    <row r="8" spans="1:2">
      <c r="A8" s="234" t="s">
        <v>1302</v>
      </c>
      <c r="B8" s="235" t="s">
        <v>1303</v>
      </c>
    </row>
    <row r="9" spans="1:2">
      <c r="A9" s="234" t="s">
        <v>1304</v>
      </c>
      <c r="B9" s="235" t="s">
        <v>1305</v>
      </c>
    </row>
    <row r="10" spans="1:2">
      <c r="A10" s="234" t="s">
        <v>1306</v>
      </c>
      <c r="B10" s="235" t="s">
        <v>1307</v>
      </c>
    </row>
    <row r="11" spans="1:2">
      <c r="A11" s="234" t="s">
        <v>1308</v>
      </c>
      <c r="B11" s="235" t="s">
        <v>878</v>
      </c>
    </row>
    <row r="12" spans="1:2">
      <c r="A12" s="234" t="s">
        <v>1309</v>
      </c>
      <c r="B12" s="235" t="s">
        <v>876</v>
      </c>
    </row>
    <row r="13" spans="1:2">
      <c r="A13" s="234" t="s">
        <v>1310</v>
      </c>
      <c r="B13" s="235" t="s">
        <v>1311</v>
      </c>
    </row>
    <row r="14" spans="1:2">
      <c r="A14" s="232" t="s">
        <v>1312</v>
      </c>
      <c r="B14" s="233" t="s">
        <v>1313</v>
      </c>
    </row>
    <row r="15" spans="1:2">
      <c r="A15" s="234" t="s">
        <v>1314</v>
      </c>
      <c r="B15" s="235" t="s">
        <v>1315</v>
      </c>
    </row>
    <row r="16" spans="1:2">
      <c r="A16" s="232" t="s">
        <v>1282</v>
      </c>
      <c r="B16" s="233" t="s">
        <v>1283</v>
      </c>
    </row>
    <row r="17" spans="1:2">
      <c r="A17" s="234" t="s">
        <v>1316</v>
      </c>
      <c r="B17" s="235" t="s">
        <v>1317</v>
      </c>
    </row>
    <row r="18" spans="1:2">
      <c r="A18" s="234" t="s">
        <v>1318</v>
      </c>
      <c r="B18" s="235" t="s">
        <v>1319</v>
      </c>
    </row>
    <row r="19" spans="1:2">
      <c r="A19" s="234" t="s">
        <v>1320</v>
      </c>
      <c r="B19" s="235" t="s">
        <v>1321</v>
      </c>
    </row>
    <row r="20" spans="1:2">
      <c r="A20" s="234" t="s">
        <v>1322</v>
      </c>
      <c r="B20" s="235" t="s">
        <v>1323</v>
      </c>
    </row>
    <row r="21" spans="1:2">
      <c r="A21" s="234" t="s">
        <v>1324</v>
      </c>
      <c r="B21" s="235" t="s">
        <v>1325</v>
      </c>
    </row>
    <row r="22" spans="1:2">
      <c r="A22" s="234" t="s">
        <v>1326</v>
      </c>
      <c r="B22" s="235" t="s">
        <v>874</v>
      </c>
    </row>
    <row r="23" spans="1:2">
      <c r="A23" s="232" t="s">
        <v>1327</v>
      </c>
      <c r="B23" s="233" t="s">
        <v>1328</v>
      </c>
    </row>
    <row r="24" spans="1:2">
      <c r="A24" s="234" t="s">
        <v>1329</v>
      </c>
      <c r="B24" s="235" t="s">
        <v>1330</v>
      </c>
    </row>
    <row r="25" spans="1:2">
      <c r="A25" s="228" t="s">
        <v>63</v>
      </c>
      <c r="B25" s="229" t="s">
        <v>64</v>
      </c>
    </row>
    <row r="26" spans="1:2">
      <c r="A26" s="232" t="s">
        <v>61</v>
      </c>
      <c r="B26" s="233" t="s">
        <v>62</v>
      </c>
    </row>
    <row r="27" spans="1:2">
      <c r="A27" s="234" t="s">
        <v>67</v>
      </c>
      <c r="B27" s="235" t="s">
        <v>68</v>
      </c>
    </row>
    <row r="28" spans="1:2">
      <c r="A28" s="234" t="s">
        <v>77</v>
      </c>
      <c r="B28" s="235" t="s">
        <v>78</v>
      </c>
    </row>
    <row r="29" spans="1:2">
      <c r="A29" s="234" t="s">
        <v>80</v>
      </c>
      <c r="B29" s="235" t="s">
        <v>81</v>
      </c>
    </row>
    <row r="30" spans="1:2">
      <c r="A30" s="234" t="s">
        <v>82</v>
      </c>
      <c r="B30" s="235" t="s">
        <v>83</v>
      </c>
    </row>
    <row r="31" spans="1:2">
      <c r="A31" s="234" t="s">
        <v>865</v>
      </c>
      <c r="B31" s="235" t="s">
        <v>866</v>
      </c>
    </row>
    <row r="32" spans="1:2">
      <c r="A32" s="234" t="s">
        <v>87</v>
      </c>
      <c r="B32" s="235" t="s">
        <v>88</v>
      </c>
    </row>
    <row r="33" spans="1:2">
      <c r="A33" s="234" t="s">
        <v>89</v>
      </c>
      <c r="B33" s="235" t="s">
        <v>90</v>
      </c>
    </row>
    <row r="34" spans="1:2">
      <c r="A34" s="234" t="s">
        <v>91</v>
      </c>
      <c r="B34" s="235" t="s">
        <v>92</v>
      </c>
    </row>
    <row r="35" spans="1:2">
      <c r="A35" s="234" t="s">
        <v>94</v>
      </c>
      <c r="B35" s="235" t="s">
        <v>95</v>
      </c>
    </row>
    <row r="36" spans="1:2">
      <c r="A36" s="234" t="s">
        <v>869</v>
      </c>
      <c r="B36" s="235" t="s">
        <v>870</v>
      </c>
    </row>
    <row r="37" spans="1:2">
      <c r="A37" s="234" t="s">
        <v>1259</v>
      </c>
      <c r="B37" s="235" t="s">
        <v>1260</v>
      </c>
    </row>
    <row r="38" spans="1:2">
      <c r="A38" s="234" t="s">
        <v>1261</v>
      </c>
      <c r="B38" s="235" t="s">
        <v>1262</v>
      </c>
    </row>
    <row r="39" spans="1:2">
      <c r="A39" s="234" t="s">
        <v>863</v>
      </c>
      <c r="B39" s="235" t="s">
        <v>864</v>
      </c>
    </row>
    <row r="40" spans="1:2">
      <c r="A40" s="234" t="s">
        <v>111</v>
      </c>
      <c r="B40" s="253" t="s">
        <v>1677</v>
      </c>
    </row>
    <row r="41" spans="1:2">
      <c r="A41" s="234" t="s">
        <v>136</v>
      </c>
      <c r="B41" s="253" t="s">
        <v>1678</v>
      </c>
    </row>
    <row r="42" spans="1:2">
      <c r="A42" s="234" t="s">
        <v>142</v>
      </c>
      <c r="B42" s="253" t="s">
        <v>1679</v>
      </c>
    </row>
    <row r="43" spans="1:2">
      <c r="A43" s="234" t="s">
        <v>144</v>
      </c>
      <c r="B43" s="253" t="s">
        <v>1680</v>
      </c>
    </row>
    <row r="44" spans="1:2">
      <c r="A44" s="234" t="s">
        <v>150</v>
      </c>
      <c r="B44" s="253" t="s">
        <v>1681</v>
      </c>
    </row>
    <row r="45" spans="1:2">
      <c r="A45" s="234" t="s">
        <v>152</v>
      </c>
      <c r="B45" s="253" t="s">
        <v>1682</v>
      </c>
    </row>
    <row r="46" spans="1:2">
      <c r="A46" s="234" t="s">
        <v>154</v>
      </c>
      <c r="B46" s="253" t="s">
        <v>1683</v>
      </c>
    </row>
    <row r="47" spans="1:2">
      <c r="A47" s="234" t="s">
        <v>158</v>
      </c>
      <c r="B47" s="253" t="s">
        <v>1684</v>
      </c>
    </row>
    <row r="48" spans="1:2">
      <c r="A48" s="234" t="s">
        <v>162</v>
      </c>
      <c r="B48" s="235" t="s">
        <v>163</v>
      </c>
    </row>
    <row r="49" spans="1:2">
      <c r="A49" s="234" t="s">
        <v>164</v>
      </c>
      <c r="B49" s="253" t="s">
        <v>1685</v>
      </c>
    </row>
    <row r="50" spans="1:2">
      <c r="A50" s="234" t="s">
        <v>165</v>
      </c>
      <c r="B50" s="253" t="s">
        <v>1686</v>
      </c>
    </row>
    <row r="51" spans="1:2">
      <c r="A51" s="234" t="s">
        <v>194</v>
      </c>
      <c r="B51" s="253" t="s">
        <v>1687</v>
      </c>
    </row>
    <row r="52" spans="1:2">
      <c r="A52" s="234" t="s">
        <v>197</v>
      </c>
      <c r="B52" s="253" t="s">
        <v>1688</v>
      </c>
    </row>
    <row r="53" spans="1:2">
      <c r="A53" s="234" t="s">
        <v>200</v>
      </c>
      <c r="B53" s="253" t="s">
        <v>1689</v>
      </c>
    </row>
    <row r="54" spans="1:2">
      <c r="A54" s="234" t="s">
        <v>204</v>
      </c>
      <c r="B54" s="253" t="s">
        <v>1690</v>
      </c>
    </row>
    <row r="55" spans="1:2">
      <c r="A55" s="234" t="s">
        <v>205</v>
      </c>
      <c r="B55" s="253" t="s">
        <v>1691</v>
      </c>
    </row>
    <row r="56" spans="1:2">
      <c r="A56" s="234" t="s">
        <v>207</v>
      </c>
      <c r="B56" s="253" t="s">
        <v>1692</v>
      </c>
    </row>
    <row r="57" spans="1:2">
      <c r="A57" s="234" t="s">
        <v>213</v>
      </c>
      <c r="B57" s="253" t="s">
        <v>1693</v>
      </c>
    </row>
    <row r="58" spans="1:2">
      <c r="A58" s="234" t="s">
        <v>214</v>
      </c>
      <c r="B58" s="253" t="s">
        <v>1694</v>
      </c>
    </row>
    <row r="59" spans="1:2">
      <c r="A59" s="234" t="s">
        <v>861</v>
      </c>
      <c r="B59" s="235" t="s">
        <v>862</v>
      </c>
    </row>
    <row r="60" spans="1:2">
      <c r="A60" s="234" t="s">
        <v>1281</v>
      </c>
      <c r="B60" s="235" t="s">
        <v>510</v>
      </c>
    </row>
    <row r="61" spans="1:2">
      <c r="A61" s="234" t="s">
        <v>867</v>
      </c>
      <c r="B61" s="235" t="s">
        <v>868</v>
      </c>
    </row>
    <row r="62" spans="1:2">
      <c r="A62" s="234" t="s">
        <v>286</v>
      </c>
      <c r="B62" s="235" t="s">
        <v>874</v>
      </c>
    </row>
    <row r="63" spans="1:2">
      <c r="A63" s="234" t="s">
        <v>875</v>
      </c>
      <c r="B63" s="235" t="s">
        <v>876</v>
      </c>
    </row>
    <row r="64" spans="1:2">
      <c r="A64" s="234" t="s">
        <v>877</v>
      </c>
      <c r="B64" s="235" t="s">
        <v>878</v>
      </c>
    </row>
    <row r="65" spans="1:2">
      <c r="A65" s="232" t="s">
        <v>1282</v>
      </c>
      <c r="B65" s="233" t="s">
        <v>1283</v>
      </c>
    </row>
    <row r="66" spans="1:2">
      <c r="A66" s="234" t="s">
        <v>871</v>
      </c>
      <c r="B66" s="235" t="s">
        <v>872</v>
      </c>
    </row>
    <row r="67" spans="1:2">
      <c r="A67" s="228" t="s">
        <v>704</v>
      </c>
      <c r="B67" s="229" t="s">
        <v>1284</v>
      </c>
    </row>
    <row r="68" spans="1:2">
      <c r="A68" s="232" t="s">
        <v>1282</v>
      </c>
      <c r="B68" s="233" t="s">
        <v>1283</v>
      </c>
    </row>
    <row r="69" spans="1:2">
      <c r="A69" s="234" t="s">
        <v>879</v>
      </c>
      <c r="B69" s="235" t="s">
        <v>880</v>
      </c>
    </row>
    <row r="70" spans="1:2">
      <c r="A70" s="234" t="s">
        <v>881</v>
      </c>
      <c r="B70" s="235" t="s">
        <v>882</v>
      </c>
    </row>
    <row r="71" spans="1:2">
      <c r="A71" s="234" t="s">
        <v>1285</v>
      </c>
      <c r="B71" s="235" t="s">
        <v>1286</v>
      </c>
    </row>
    <row r="72" spans="1:2">
      <c r="A72" s="234" t="s">
        <v>883</v>
      </c>
      <c r="B72" s="235" t="s">
        <v>884</v>
      </c>
    </row>
    <row r="73" spans="1:2">
      <c r="A73" s="234" t="s">
        <v>1287</v>
      </c>
      <c r="B73" s="235" t="s">
        <v>1260</v>
      </c>
    </row>
    <row r="74" spans="1:2">
      <c r="A74" s="234" t="s">
        <v>885</v>
      </c>
      <c r="B74" s="253" t="s">
        <v>1695</v>
      </c>
    </row>
    <row r="75" spans="1:2">
      <c r="A75" s="234" t="s">
        <v>886</v>
      </c>
      <c r="B75" s="253" t="s">
        <v>1696</v>
      </c>
    </row>
    <row r="76" spans="1:2">
      <c r="A76" s="234" t="s">
        <v>887</v>
      </c>
      <c r="B76" s="235" t="s">
        <v>888</v>
      </c>
    </row>
    <row r="77" spans="1:2">
      <c r="A77" s="234" t="s">
        <v>889</v>
      </c>
      <c r="B77" s="235" t="s">
        <v>874</v>
      </c>
    </row>
    <row r="78" spans="1:2">
      <c r="A78" s="228" t="s">
        <v>1331</v>
      </c>
      <c r="B78" s="229" t="s">
        <v>1332</v>
      </c>
    </row>
    <row r="79" spans="1:2">
      <c r="A79" s="232" t="s">
        <v>1282</v>
      </c>
      <c r="B79" s="233" t="s">
        <v>1283</v>
      </c>
    </row>
    <row r="80" spans="1:2">
      <c r="A80" s="234" t="s">
        <v>1333</v>
      </c>
      <c r="B80" s="235" t="s">
        <v>1334</v>
      </c>
    </row>
    <row r="81" spans="1:2">
      <c r="A81" s="234" t="s">
        <v>1335</v>
      </c>
      <c r="B81" s="235" t="s">
        <v>1336</v>
      </c>
    </row>
    <row r="82" spans="1:2">
      <c r="A82" s="228" t="s">
        <v>1337</v>
      </c>
      <c r="B82" s="229" t="s">
        <v>1338</v>
      </c>
    </row>
    <row r="83" spans="1:2">
      <c r="A83" s="232" t="s">
        <v>1282</v>
      </c>
      <c r="B83" s="233" t="s">
        <v>1283</v>
      </c>
    </row>
    <row r="84" spans="1:2">
      <c r="A84" s="234" t="s">
        <v>1339</v>
      </c>
      <c r="B84" s="235" t="s">
        <v>1340</v>
      </c>
    </row>
    <row r="85" spans="1:2">
      <c r="A85" s="234" t="s">
        <v>1341</v>
      </c>
      <c r="B85" s="235" t="s">
        <v>1342</v>
      </c>
    </row>
    <row r="86" spans="1:2">
      <c r="A86" s="234" t="s">
        <v>1343</v>
      </c>
      <c r="B86" s="253" t="s">
        <v>1697</v>
      </c>
    </row>
    <row r="87" spans="1:2">
      <c r="A87" s="234" t="s">
        <v>1345</v>
      </c>
      <c r="B87" s="235" t="s">
        <v>1346</v>
      </c>
    </row>
    <row r="88" spans="1:2">
      <c r="A88" s="228" t="s">
        <v>1347</v>
      </c>
      <c r="B88" s="229" t="s">
        <v>1348</v>
      </c>
    </row>
    <row r="89" spans="1:2">
      <c r="A89" s="232" t="s">
        <v>1349</v>
      </c>
      <c r="B89" s="233" t="s">
        <v>1350</v>
      </c>
    </row>
    <row r="90" spans="1:2">
      <c r="A90" s="234" t="s">
        <v>1351</v>
      </c>
      <c r="B90" s="235" t="s">
        <v>1352</v>
      </c>
    </row>
    <row r="91" spans="1:2">
      <c r="A91" s="234" t="s">
        <v>1353</v>
      </c>
      <c r="B91" s="235" t="s">
        <v>1354</v>
      </c>
    </row>
    <row r="92" spans="1:2">
      <c r="A92" s="234" t="s">
        <v>1355</v>
      </c>
      <c r="B92" s="235" t="s">
        <v>1356</v>
      </c>
    </row>
    <row r="93" spans="1:2">
      <c r="A93" s="234" t="s">
        <v>1357</v>
      </c>
      <c r="B93" s="235" t="s">
        <v>1358</v>
      </c>
    </row>
    <row r="94" spans="1:2">
      <c r="A94" s="234" t="s">
        <v>1359</v>
      </c>
      <c r="B94" s="235" t="s">
        <v>1360</v>
      </c>
    </row>
    <row r="95" spans="1:2">
      <c r="A95" s="234" t="s">
        <v>1361</v>
      </c>
      <c r="B95" s="235" t="s">
        <v>1362</v>
      </c>
    </row>
    <row r="96" spans="1:2">
      <c r="A96" s="234" t="s">
        <v>1363</v>
      </c>
      <c r="B96" s="235" t="s">
        <v>1364</v>
      </c>
    </row>
    <row r="97" spans="1:2">
      <c r="A97" s="234" t="s">
        <v>1365</v>
      </c>
      <c r="B97" s="235" t="s">
        <v>1366</v>
      </c>
    </row>
    <row r="98" spans="1:2">
      <c r="A98" s="234" t="s">
        <v>1367</v>
      </c>
      <c r="B98" s="235" t="s">
        <v>1368</v>
      </c>
    </row>
    <row r="99" spans="1:2">
      <c r="A99" s="234" t="s">
        <v>1369</v>
      </c>
      <c r="B99" s="235" t="s">
        <v>1370</v>
      </c>
    </row>
    <row r="100" spans="1:2">
      <c r="A100" s="234" t="s">
        <v>1371</v>
      </c>
      <c r="B100" s="235" t="s">
        <v>1372</v>
      </c>
    </row>
    <row r="101" spans="1:2">
      <c r="A101" s="234" t="s">
        <v>1373</v>
      </c>
      <c r="B101" s="235" t="s">
        <v>1374</v>
      </c>
    </row>
    <row r="102" spans="1:2">
      <c r="A102" s="234" t="s">
        <v>1375</v>
      </c>
      <c r="B102" s="235" t="s">
        <v>1376</v>
      </c>
    </row>
    <row r="103" spans="1:2">
      <c r="A103" s="234" t="s">
        <v>1377</v>
      </c>
      <c r="B103" s="235" t="s">
        <v>1378</v>
      </c>
    </row>
    <row r="104" spans="1:2">
      <c r="A104" s="234" t="s">
        <v>1379</v>
      </c>
      <c r="B104" s="235" t="s">
        <v>1380</v>
      </c>
    </row>
    <row r="105" spans="1:2">
      <c r="A105" s="228" t="s">
        <v>1381</v>
      </c>
      <c r="B105" s="229" t="s">
        <v>1382</v>
      </c>
    </row>
    <row r="106" spans="1:2">
      <c r="A106" s="232" t="s">
        <v>1282</v>
      </c>
      <c r="B106" s="233" t="s">
        <v>1283</v>
      </c>
    </row>
    <row r="107" spans="1:2">
      <c r="A107" s="234" t="s">
        <v>1383</v>
      </c>
      <c r="B107" s="235" t="s">
        <v>1384</v>
      </c>
    </row>
    <row r="108" spans="1:2">
      <c r="A108" s="234" t="s">
        <v>1385</v>
      </c>
      <c r="B108" s="253" t="s">
        <v>1699</v>
      </c>
    </row>
    <row r="109" spans="1:2">
      <c r="A109" s="228" t="s">
        <v>1387</v>
      </c>
      <c r="B109" s="229" t="s">
        <v>1388</v>
      </c>
    </row>
    <row r="110" spans="1:2">
      <c r="A110" s="232" t="s">
        <v>1349</v>
      </c>
      <c r="B110" s="233" t="s">
        <v>1350</v>
      </c>
    </row>
    <row r="111" spans="1:2">
      <c r="A111" s="234" t="s">
        <v>1389</v>
      </c>
      <c r="B111" s="235" t="s">
        <v>1390</v>
      </c>
    </row>
    <row r="112" spans="1:2">
      <c r="A112" s="234" t="s">
        <v>1391</v>
      </c>
      <c r="B112" s="253" t="s">
        <v>1698</v>
      </c>
    </row>
    <row r="113" spans="1:2">
      <c r="A113" s="234" t="s">
        <v>1393</v>
      </c>
      <c r="B113" s="235" t="s">
        <v>1394</v>
      </c>
    </row>
    <row r="114" spans="1:2">
      <c r="A114" s="234" t="s">
        <v>1395</v>
      </c>
      <c r="B114" s="253" t="s">
        <v>1700</v>
      </c>
    </row>
    <row r="115" spans="1:2">
      <c r="A115" s="234" t="s">
        <v>1397</v>
      </c>
      <c r="B115" s="235" t="s">
        <v>1398</v>
      </c>
    </row>
    <row r="116" spans="1:2">
      <c r="A116" s="228" t="s">
        <v>1399</v>
      </c>
      <c r="B116" s="229" t="s">
        <v>1400</v>
      </c>
    </row>
    <row r="117" spans="1:2">
      <c r="A117" s="232" t="s">
        <v>1292</v>
      </c>
      <c r="B117" s="233" t="s">
        <v>1293</v>
      </c>
    </row>
    <row r="118" spans="1:2">
      <c r="A118" s="234" t="s">
        <v>1401</v>
      </c>
      <c r="B118" s="235" t="s">
        <v>1402</v>
      </c>
    </row>
    <row r="119" spans="1:2">
      <c r="A119" s="234" t="s">
        <v>1403</v>
      </c>
      <c r="B119" s="235" t="s">
        <v>1404</v>
      </c>
    </row>
    <row r="120" spans="1:2">
      <c r="A120" s="234" t="s">
        <v>1405</v>
      </c>
      <c r="B120" s="235" t="s">
        <v>1406</v>
      </c>
    </row>
    <row r="121" spans="1:2">
      <c r="A121" s="234" t="s">
        <v>1407</v>
      </c>
      <c r="B121" s="235" t="s">
        <v>1408</v>
      </c>
    </row>
    <row r="122" spans="1:2">
      <c r="A122" s="234" t="s">
        <v>1409</v>
      </c>
      <c r="B122" s="235" t="s">
        <v>1410</v>
      </c>
    </row>
    <row r="123" spans="1:2">
      <c r="A123" s="234" t="s">
        <v>1411</v>
      </c>
      <c r="B123" s="235" t="s">
        <v>1412</v>
      </c>
    </row>
    <row r="124" spans="1:2">
      <c r="A124" s="234" t="s">
        <v>1413</v>
      </c>
      <c r="B124" s="235" t="s">
        <v>1414</v>
      </c>
    </row>
    <row r="125" spans="1:2">
      <c r="A125" s="228" t="s">
        <v>1415</v>
      </c>
      <c r="B125" s="229" t="s">
        <v>1416</v>
      </c>
    </row>
    <row r="126" spans="1:2">
      <c r="A126" s="232" t="s">
        <v>61</v>
      </c>
      <c r="B126" s="233" t="s">
        <v>62</v>
      </c>
    </row>
    <row r="127" spans="1:2">
      <c r="A127" s="234" t="s">
        <v>1417</v>
      </c>
      <c r="B127" s="235" t="s">
        <v>1418</v>
      </c>
    </row>
    <row r="128" spans="1:2">
      <c r="A128" s="234" t="s">
        <v>1419</v>
      </c>
      <c r="B128" s="235" t="s">
        <v>1420</v>
      </c>
    </row>
    <row r="129" spans="1:2">
      <c r="A129" s="234" t="s">
        <v>1421</v>
      </c>
      <c r="B129" s="235" t="s">
        <v>1422</v>
      </c>
    </row>
    <row r="130" spans="1:2">
      <c r="A130" s="234" t="s">
        <v>1423</v>
      </c>
      <c r="B130" s="235" t="s">
        <v>1424</v>
      </c>
    </row>
    <row r="131" spans="1:2">
      <c r="A131" s="234" t="s">
        <v>1425</v>
      </c>
      <c r="B131" s="235" t="s">
        <v>1426</v>
      </c>
    </row>
    <row r="132" spans="1:2">
      <c r="A132" s="234" t="s">
        <v>1427</v>
      </c>
      <c r="B132" s="235" t="s">
        <v>1428</v>
      </c>
    </row>
    <row r="133" spans="1:2">
      <c r="A133" s="234" t="s">
        <v>1429</v>
      </c>
      <c r="B133" s="235" t="s">
        <v>1430</v>
      </c>
    </row>
    <row r="134" spans="1:2">
      <c r="A134" s="234" t="s">
        <v>1431</v>
      </c>
      <c r="B134" s="235" t="s">
        <v>1432</v>
      </c>
    </row>
    <row r="135" spans="1:2">
      <c r="A135" s="234" t="s">
        <v>1433</v>
      </c>
      <c r="B135" s="235" t="s">
        <v>1434</v>
      </c>
    </row>
    <row r="136" spans="1:2">
      <c r="A136" s="234" t="s">
        <v>1435</v>
      </c>
      <c r="B136" s="235" t="s">
        <v>1436</v>
      </c>
    </row>
    <row r="137" spans="1:2">
      <c r="A137" s="234" t="s">
        <v>1437</v>
      </c>
      <c r="B137" s="235" t="s">
        <v>1438</v>
      </c>
    </row>
    <row r="138" spans="1:2">
      <c r="A138" s="234" t="s">
        <v>1439</v>
      </c>
      <c r="B138" s="235" t="s">
        <v>1440</v>
      </c>
    </row>
    <row r="139" spans="1:2">
      <c r="A139" s="234" t="s">
        <v>1441</v>
      </c>
      <c r="B139" s="235" t="s">
        <v>1442</v>
      </c>
    </row>
    <row r="140" spans="1:2">
      <c r="A140" s="234" t="s">
        <v>1443</v>
      </c>
      <c r="B140" s="235" t="s">
        <v>1444</v>
      </c>
    </row>
    <row r="141" spans="1:2">
      <c r="A141" s="234" t="s">
        <v>1445</v>
      </c>
      <c r="B141" s="235" t="s">
        <v>1446</v>
      </c>
    </row>
    <row r="142" spans="1:2">
      <c r="A142" s="234" t="s">
        <v>1447</v>
      </c>
      <c r="B142" s="235" t="s">
        <v>1448</v>
      </c>
    </row>
    <row r="143" spans="1:2">
      <c r="A143" s="234" t="s">
        <v>1449</v>
      </c>
      <c r="B143" s="235" t="s">
        <v>1450</v>
      </c>
    </row>
    <row r="144" spans="1:2">
      <c r="A144" s="234" t="s">
        <v>1451</v>
      </c>
      <c r="B144" s="235" t="s">
        <v>876</v>
      </c>
    </row>
    <row r="145" spans="1:2">
      <c r="A145" s="234" t="s">
        <v>1452</v>
      </c>
      <c r="B145" s="235" t="s">
        <v>1453</v>
      </c>
    </row>
    <row r="146" spans="1:2">
      <c r="A146" s="234" t="s">
        <v>1454</v>
      </c>
      <c r="B146" s="235" t="s">
        <v>1455</v>
      </c>
    </row>
    <row r="147" spans="1:2">
      <c r="A147" s="228" t="s">
        <v>1456</v>
      </c>
      <c r="B147" s="229" t="s">
        <v>1457</v>
      </c>
    </row>
    <row r="148" spans="1:2">
      <c r="A148" s="232" t="s">
        <v>1292</v>
      </c>
      <c r="B148" s="233" t="s">
        <v>1293</v>
      </c>
    </row>
    <row r="149" spans="1:2">
      <c r="A149" s="234" t="s">
        <v>1458</v>
      </c>
      <c r="B149" s="235" t="s">
        <v>1459</v>
      </c>
    </row>
    <row r="150" spans="1:2">
      <c r="A150" s="234" t="s">
        <v>1460</v>
      </c>
      <c r="B150" s="235" t="s">
        <v>1461</v>
      </c>
    </row>
    <row r="151" spans="1:2">
      <c r="A151" s="234" t="s">
        <v>1462</v>
      </c>
      <c r="B151" s="235" t="s">
        <v>1463</v>
      </c>
    </row>
    <row r="152" spans="1:2">
      <c r="A152" s="234" t="s">
        <v>1464</v>
      </c>
      <c r="B152" s="235" t="s">
        <v>1465</v>
      </c>
    </row>
    <row r="153" spans="1:2">
      <c r="A153" s="234" t="s">
        <v>1466</v>
      </c>
      <c r="B153" s="235" t="s">
        <v>1467</v>
      </c>
    </row>
    <row r="154" spans="1:2">
      <c r="A154" s="234" t="s">
        <v>1468</v>
      </c>
      <c r="B154" s="235" t="s">
        <v>1469</v>
      </c>
    </row>
    <row r="155" spans="1:2">
      <c r="A155" s="234" t="s">
        <v>1470</v>
      </c>
      <c r="B155" s="235" t="s">
        <v>1471</v>
      </c>
    </row>
    <row r="156" spans="1:2">
      <c r="A156" s="234" t="s">
        <v>1472</v>
      </c>
      <c r="B156" s="235" t="s">
        <v>1473</v>
      </c>
    </row>
    <row r="157" spans="1:2">
      <c r="A157" s="234" t="s">
        <v>1474</v>
      </c>
      <c r="B157" s="235" t="s">
        <v>1475</v>
      </c>
    </row>
    <row r="158" spans="1:2">
      <c r="A158" s="232" t="s">
        <v>1349</v>
      </c>
      <c r="B158" s="233" t="s">
        <v>1350</v>
      </c>
    </row>
    <row r="159" spans="1:2">
      <c r="A159" s="234" t="s">
        <v>1476</v>
      </c>
      <c r="B159" s="235" t="s">
        <v>1477</v>
      </c>
    </row>
    <row r="160" spans="1:2">
      <c r="A160" s="228" t="s">
        <v>1478</v>
      </c>
      <c r="B160" s="229" t="s">
        <v>1479</v>
      </c>
    </row>
    <row r="161" spans="1:2">
      <c r="A161" s="232" t="s">
        <v>1292</v>
      </c>
      <c r="B161" s="233" t="s">
        <v>1293</v>
      </c>
    </row>
    <row r="162" spans="1:2">
      <c r="A162" s="234" t="s">
        <v>1480</v>
      </c>
      <c r="B162" s="235" t="s">
        <v>1481</v>
      </c>
    </row>
    <row r="163" spans="1:2">
      <c r="A163" s="234" t="s">
        <v>1482</v>
      </c>
      <c r="B163" s="235" t="s">
        <v>1483</v>
      </c>
    </row>
    <row r="164" spans="1:2">
      <c r="A164" s="234" t="s">
        <v>1484</v>
      </c>
      <c r="B164" s="235" t="s">
        <v>1485</v>
      </c>
    </row>
    <row r="165" spans="1:2">
      <c r="A165" s="234" t="s">
        <v>1486</v>
      </c>
      <c r="B165" s="235" t="s">
        <v>1487</v>
      </c>
    </row>
    <row r="166" spans="1:2">
      <c r="A166" s="234" t="s">
        <v>1488</v>
      </c>
      <c r="B166" s="235" t="s">
        <v>1489</v>
      </c>
    </row>
    <row r="167" spans="1:2">
      <c r="A167" s="234" t="s">
        <v>1490</v>
      </c>
      <c r="B167" s="235" t="s">
        <v>1491</v>
      </c>
    </row>
    <row r="168" spans="1:2">
      <c r="A168" s="234" t="s">
        <v>1492</v>
      </c>
      <c r="B168" s="235" t="s">
        <v>1493</v>
      </c>
    </row>
    <row r="169" spans="1:2">
      <c r="A169" s="234" t="s">
        <v>1494</v>
      </c>
      <c r="B169" s="235" t="s">
        <v>1495</v>
      </c>
    </row>
    <row r="170" spans="1:2">
      <c r="A170" s="234" t="s">
        <v>1496</v>
      </c>
      <c r="B170" s="235" t="s">
        <v>1497</v>
      </c>
    </row>
    <row r="171" spans="1:2">
      <c r="A171" s="234" t="s">
        <v>1498</v>
      </c>
      <c r="B171" s="235" t="s">
        <v>1499</v>
      </c>
    </row>
    <row r="172" spans="1:2">
      <c r="A172" s="234" t="s">
        <v>1500</v>
      </c>
      <c r="B172" s="235" t="s">
        <v>1501</v>
      </c>
    </row>
    <row r="173" spans="1:2">
      <c r="A173" s="234" t="s">
        <v>1502</v>
      </c>
      <c r="B173" s="235" t="s">
        <v>1503</v>
      </c>
    </row>
    <row r="174" spans="1:2">
      <c r="A174" s="234" t="s">
        <v>1504</v>
      </c>
      <c r="B174" s="235" t="s">
        <v>1505</v>
      </c>
    </row>
    <row r="175" spans="1:2">
      <c r="A175" s="234" t="s">
        <v>1506</v>
      </c>
      <c r="B175" s="235" t="s">
        <v>1507</v>
      </c>
    </row>
    <row r="176" spans="1:2">
      <c r="A176" s="234" t="s">
        <v>1508</v>
      </c>
      <c r="B176" s="235" t="s">
        <v>1509</v>
      </c>
    </row>
    <row r="177" spans="1:2">
      <c r="A177" s="234" t="s">
        <v>1510</v>
      </c>
      <c r="B177" s="235" t="s">
        <v>1511</v>
      </c>
    </row>
    <row r="178" spans="1:2">
      <c r="A178" s="234" t="s">
        <v>1512</v>
      </c>
      <c r="B178" s="235" t="s">
        <v>1513</v>
      </c>
    </row>
    <row r="179" spans="1:2">
      <c r="A179" s="234" t="s">
        <v>1514</v>
      </c>
      <c r="B179" s="235" t="s">
        <v>1515</v>
      </c>
    </row>
    <row r="180" spans="1:2">
      <c r="A180" s="234" t="s">
        <v>1516</v>
      </c>
      <c r="B180" s="235" t="s">
        <v>1517</v>
      </c>
    </row>
    <row r="181" spans="1:2">
      <c r="A181" s="228" t="s">
        <v>1518</v>
      </c>
      <c r="B181" s="229" t="s">
        <v>1519</v>
      </c>
    </row>
    <row r="182" spans="1:2">
      <c r="A182" s="232" t="s">
        <v>1292</v>
      </c>
      <c r="B182" s="233" t="s">
        <v>1293</v>
      </c>
    </row>
    <row r="183" spans="1:2">
      <c r="A183" s="234" t="s">
        <v>1520</v>
      </c>
      <c r="B183" s="235" t="s">
        <v>1521</v>
      </c>
    </row>
    <row r="184" spans="1:2">
      <c r="A184" s="234" t="s">
        <v>1522</v>
      </c>
      <c r="B184" s="235" t="s">
        <v>1523</v>
      </c>
    </row>
    <row r="185" spans="1:2">
      <c r="A185" s="234" t="s">
        <v>1524</v>
      </c>
      <c r="B185" s="235" t="s">
        <v>1525</v>
      </c>
    </row>
    <row r="186" spans="1:2">
      <c r="A186" s="234" t="s">
        <v>1526</v>
      </c>
      <c r="B186" s="235" t="s">
        <v>1527</v>
      </c>
    </row>
    <row r="187" spans="1:2">
      <c r="A187" s="234" t="s">
        <v>1528</v>
      </c>
      <c r="B187" s="235" t="s">
        <v>1529</v>
      </c>
    </row>
    <row r="188" spans="1:2">
      <c r="A188" s="234" t="s">
        <v>1530</v>
      </c>
      <c r="B188" s="235" t="s">
        <v>1531</v>
      </c>
    </row>
    <row r="189" spans="1:2">
      <c r="A189" s="234" t="s">
        <v>1532</v>
      </c>
      <c r="B189" s="235" t="s">
        <v>1533</v>
      </c>
    </row>
    <row r="190" spans="1:2">
      <c r="A190" s="234" t="s">
        <v>1534</v>
      </c>
      <c r="B190" s="235" t="s">
        <v>1535</v>
      </c>
    </row>
    <row r="191" spans="1:2">
      <c r="A191" s="234" t="s">
        <v>1536</v>
      </c>
      <c r="B191" s="235" t="s">
        <v>1537</v>
      </c>
    </row>
    <row r="192" spans="1:2">
      <c r="A192" s="234" t="s">
        <v>1538</v>
      </c>
      <c r="B192" s="235" t="s">
        <v>1539</v>
      </c>
    </row>
    <row r="193" spans="1:2">
      <c r="A193" s="234" t="s">
        <v>1540</v>
      </c>
      <c r="B193" s="235" t="s">
        <v>1541</v>
      </c>
    </row>
    <row r="194" spans="1:2">
      <c r="A194" s="234" t="s">
        <v>1542</v>
      </c>
      <c r="B194" s="235" t="s">
        <v>1543</v>
      </c>
    </row>
    <row r="195" spans="1:2">
      <c r="A195" s="234" t="s">
        <v>1544</v>
      </c>
      <c r="B195" s="235" t="s">
        <v>1545</v>
      </c>
    </row>
    <row r="196" spans="1:2">
      <c r="A196" s="234" t="s">
        <v>1546</v>
      </c>
      <c r="B196" s="235" t="s">
        <v>1547</v>
      </c>
    </row>
    <row r="197" spans="1:2">
      <c r="A197" s="234" t="s">
        <v>1548</v>
      </c>
      <c r="B197" s="235" t="s">
        <v>876</v>
      </c>
    </row>
    <row r="198" spans="1:2">
      <c r="A198" s="234" t="s">
        <v>1549</v>
      </c>
      <c r="B198" s="235" t="s">
        <v>1550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267"/>
  <sheetViews>
    <sheetView topLeftCell="A13" workbookViewId="0">
      <selection activeCell="B41" sqref="A6:B41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39" t="s">
        <v>1551</v>
      </c>
      <c r="B1" s="240"/>
    </row>
    <row r="2" spans="1:2">
      <c r="A2" s="239" t="s">
        <v>1258</v>
      </c>
      <c r="B2" s="240" t="s">
        <v>656</v>
      </c>
    </row>
    <row r="3" spans="1:2" s="209" customFormat="1">
      <c r="A3" s="254" t="s">
        <v>1290</v>
      </c>
      <c r="B3" s="255" t="s">
        <v>1291</v>
      </c>
    </row>
    <row r="4" spans="1:2" s="209" customFormat="1">
      <c r="A4" s="256" t="s">
        <v>1292</v>
      </c>
      <c r="B4" s="257" t="s">
        <v>1293</v>
      </c>
    </row>
    <row r="5" spans="1:2" s="209" customFormat="1">
      <c r="A5" s="256" t="s">
        <v>1308</v>
      </c>
      <c r="B5" s="257" t="s">
        <v>878</v>
      </c>
    </row>
    <row r="6" spans="1:2" s="209" customFormat="1">
      <c r="A6" s="258" t="s">
        <v>1552</v>
      </c>
      <c r="B6" s="259" t="s">
        <v>1553</v>
      </c>
    </row>
    <row r="7" spans="1:2" s="209" customFormat="1">
      <c r="A7" s="256" t="s">
        <v>1309</v>
      </c>
      <c r="B7" s="257" t="s">
        <v>876</v>
      </c>
    </row>
    <row r="8" spans="1:2" s="209" customFormat="1" ht="22.5">
      <c r="A8" s="258" t="s">
        <v>1554</v>
      </c>
      <c r="B8" s="259" t="s">
        <v>1555</v>
      </c>
    </row>
    <row r="9" spans="1:2" s="209" customFormat="1">
      <c r="A9" s="258" t="s">
        <v>1556</v>
      </c>
      <c r="B9" s="259" t="s">
        <v>1557</v>
      </c>
    </row>
    <row r="10" spans="1:2" s="209" customFormat="1">
      <c r="A10" s="258" t="s">
        <v>1558</v>
      </c>
      <c r="B10" s="259" t="s">
        <v>1559</v>
      </c>
    </row>
    <row r="11" spans="1:2" s="209" customFormat="1" ht="22.5">
      <c r="A11" s="258" t="s">
        <v>1560</v>
      </c>
      <c r="B11" s="259" t="s">
        <v>1561</v>
      </c>
    </row>
    <row r="12" spans="1:2" s="209" customFormat="1">
      <c r="A12" s="258" t="s">
        <v>1562</v>
      </c>
      <c r="B12" s="259" t="s">
        <v>1563</v>
      </c>
    </row>
    <row r="13" spans="1:2" s="209" customFormat="1">
      <c r="A13" s="258" t="s">
        <v>1564</v>
      </c>
      <c r="B13" s="259" t="s">
        <v>1178</v>
      </c>
    </row>
    <row r="14" spans="1:2" s="209" customFormat="1">
      <c r="A14" s="258" t="s">
        <v>1565</v>
      </c>
      <c r="B14" s="259" t="s">
        <v>1180</v>
      </c>
    </row>
    <row r="15" spans="1:2" s="209" customFormat="1">
      <c r="A15" s="258" t="s">
        <v>1566</v>
      </c>
      <c r="B15" s="259" t="s">
        <v>1182</v>
      </c>
    </row>
    <row r="16" spans="1:2" s="209" customFormat="1">
      <c r="A16" s="258" t="s">
        <v>1567</v>
      </c>
      <c r="B16" s="259" t="s">
        <v>1568</v>
      </c>
    </row>
    <row r="17" spans="1:2" s="209" customFormat="1">
      <c r="A17" s="258" t="s">
        <v>1569</v>
      </c>
      <c r="B17" s="259" t="s">
        <v>1570</v>
      </c>
    </row>
    <row r="18" spans="1:2" s="209" customFormat="1">
      <c r="A18" s="258" t="s">
        <v>1571</v>
      </c>
      <c r="B18" s="259" t="s">
        <v>1572</v>
      </c>
    </row>
    <row r="19" spans="1:2" s="209" customFormat="1">
      <c r="A19" s="258" t="s">
        <v>1573</v>
      </c>
      <c r="B19" s="259" t="s">
        <v>1574</v>
      </c>
    </row>
    <row r="20" spans="1:2" s="209" customFormat="1">
      <c r="A20" s="258" t="s">
        <v>1575</v>
      </c>
      <c r="B20" s="259" t="s">
        <v>1576</v>
      </c>
    </row>
    <row r="21" spans="1:2" s="209" customFormat="1">
      <c r="A21" s="258" t="s">
        <v>1577</v>
      </c>
      <c r="B21" s="259" t="s">
        <v>1578</v>
      </c>
    </row>
    <row r="22" spans="1:2" s="209" customFormat="1">
      <c r="A22" s="258" t="s">
        <v>1579</v>
      </c>
      <c r="B22" s="259" t="s">
        <v>1580</v>
      </c>
    </row>
    <row r="23" spans="1:2" s="209" customFormat="1">
      <c r="A23" s="258" t="s">
        <v>1581</v>
      </c>
      <c r="B23" s="259" t="s">
        <v>1582</v>
      </c>
    </row>
    <row r="24" spans="1:2" s="209" customFormat="1">
      <c r="A24" s="258" t="s">
        <v>1583</v>
      </c>
      <c r="B24" s="259" t="s">
        <v>1584</v>
      </c>
    </row>
    <row r="25" spans="1:2" s="209" customFormat="1">
      <c r="A25" s="258" t="s">
        <v>1585</v>
      </c>
      <c r="B25" s="259" t="s">
        <v>1586</v>
      </c>
    </row>
    <row r="26" spans="1:2" s="209" customFormat="1">
      <c r="A26" s="258" t="s">
        <v>1587</v>
      </c>
      <c r="B26" s="259" t="s">
        <v>1588</v>
      </c>
    </row>
    <row r="27" spans="1:2" s="209" customFormat="1">
      <c r="A27" s="258" t="s">
        <v>1589</v>
      </c>
      <c r="B27" s="259" t="s">
        <v>1590</v>
      </c>
    </row>
    <row r="28" spans="1:2" s="209" customFormat="1">
      <c r="A28" s="258" t="s">
        <v>1591</v>
      </c>
      <c r="B28" s="259" t="s">
        <v>1592</v>
      </c>
    </row>
    <row r="29" spans="1:2" s="209" customFormat="1">
      <c r="A29" s="258" t="s">
        <v>1593</v>
      </c>
      <c r="B29" s="259" t="s">
        <v>1594</v>
      </c>
    </row>
    <row r="30" spans="1:2" s="209" customFormat="1">
      <c r="A30" s="258" t="s">
        <v>1595</v>
      </c>
      <c r="B30" s="259" t="s">
        <v>1596</v>
      </c>
    </row>
    <row r="31" spans="1:2" s="209" customFormat="1">
      <c r="A31" s="256" t="s">
        <v>1282</v>
      </c>
      <c r="B31" s="260" t="s">
        <v>1283</v>
      </c>
    </row>
    <row r="32" spans="1:2" s="209" customFormat="1">
      <c r="A32" s="256" t="s">
        <v>1326</v>
      </c>
      <c r="B32" s="260" t="s">
        <v>874</v>
      </c>
    </row>
    <row r="33" spans="1:2" s="209" customFormat="1">
      <c r="A33" s="258" t="s">
        <v>1597</v>
      </c>
      <c r="B33" s="259" t="s">
        <v>1598</v>
      </c>
    </row>
    <row r="34" spans="1:2" s="209" customFormat="1">
      <c r="A34" s="258" t="s">
        <v>1599</v>
      </c>
      <c r="B34" s="259" t="s">
        <v>1600</v>
      </c>
    </row>
    <row r="35" spans="1:2" s="209" customFormat="1">
      <c r="A35" s="258" t="s">
        <v>1601</v>
      </c>
      <c r="B35" s="259" t="s">
        <v>1602</v>
      </c>
    </row>
    <row r="36" spans="1:2" s="209" customFormat="1">
      <c r="A36" s="258" t="s">
        <v>1603</v>
      </c>
      <c r="B36" s="259" t="s">
        <v>370</v>
      </c>
    </row>
    <row r="37" spans="1:2" s="209" customFormat="1">
      <c r="A37" s="258" t="s">
        <v>1604</v>
      </c>
      <c r="B37" s="259" t="s">
        <v>1605</v>
      </c>
    </row>
    <row r="38" spans="1:2" s="209" customFormat="1">
      <c r="A38" s="258" t="s">
        <v>1606</v>
      </c>
      <c r="B38" s="259" t="s">
        <v>1607</v>
      </c>
    </row>
    <row r="39" spans="1:2" s="209" customFormat="1">
      <c r="A39" s="258" t="s">
        <v>1608</v>
      </c>
      <c r="B39" s="259" t="s">
        <v>1609</v>
      </c>
    </row>
    <row r="40" spans="1:2" s="209" customFormat="1">
      <c r="A40" s="258" t="s">
        <v>1610</v>
      </c>
      <c r="B40" s="259" t="s">
        <v>1611</v>
      </c>
    </row>
    <row r="41" spans="1:2" s="209" customFormat="1">
      <c r="A41" s="258" t="s">
        <v>1612</v>
      </c>
      <c r="B41" s="259" t="s">
        <v>1613</v>
      </c>
    </row>
    <row r="42" spans="1:2">
      <c r="A42" s="241" t="s">
        <v>63</v>
      </c>
      <c r="B42" s="246" t="s">
        <v>64</v>
      </c>
    </row>
    <row r="43" spans="1:2">
      <c r="A43" s="242" t="s">
        <v>61</v>
      </c>
      <c r="B43" s="245" t="s">
        <v>62</v>
      </c>
    </row>
    <row r="44" spans="1:2">
      <c r="A44" s="242" t="s">
        <v>111</v>
      </c>
      <c r="B44" s="245" t="s">
        <v>1263</v>
      </c>
    </row>
    <row r="45" spans="1:2">
      <c r="A45" s="243" t="s">
        <v>891</v>
      </c>
      <c r="B45" s="244" t="s">
        <v>892</v>
      </c>
    </row>
    <row r="46" spans="1:2">
      <c r="A46" s="243" t="s">
        <v>893</v>
      </c>
      <c r="B46" s="244" t="s">
        <v>894</v>
      </c>
    </row>
    <row r="47" spans="1:2">
      <c r="A47" s="243" t="s">
        <v>895</v>
      </c>
      <c r="B47" s="244" t="s">
        <v>896</v>
      </c>
    </row>
    <row r="48" spans="1:2">
      <c r="A48" s="243" t="s">
        <v>897</v>
      </c>
      <c r="B48" s="244" t="s">
        <v>898</v>
      </c>
    </row>
    <row r="49" spans="1:2">
      <c r="A49" s="243" t="s">
        <v>899</v>
      </c>
      <c r="B49" s="244" t="s">
        <v>900</v>
      </c>
    </row>
    <row r="50" spans="1:2">
      <c r="A50" s="243" t="s">
        <v>901</v>
      </c>
      <c r="B50" s="244" t="s">
        <v>902</v>
      </c>
    </row>
    <row r="51" spans="1:2">
      <c r="A51" s="243" t="s">
        <v>903</v>
      </c>
      <c r="B51" s="244" t="s">
        <v>904</v>
      </c>
    </row>
    <row r="52" spans="1:2">
      <c r="A52" s="243" t="s">
        <v>905</v>
      </c>
      <c r="B52" s="244" t="s">
        <v>906</v>
      </c>
    </row>
    <row r="53" spans="1:2">
      <c r="A53" s="243" t="s">
        <v>907</v>
      </c>
      <c r="B53" s="244" t="s">
        <v>908</v>
      </c>
    </row>
    <row r="54" spans="1:2">
      <c r="A54" s="242" t="s">
        <v>136</v>
      </c>
      <c r="B54" s="245" t="s">
        <v>1264</v>
      </c>
    </row>
    <row r="55" spans="1:2">
      <c r="A55" s="243" t="s">
        <v>909</v>
      </c>
      <c r="B55" s="244" t="s">
        <v>910</v>
      </c>
    </row>
    <row r="56" spans="1:2">
      <c r="A56" s="243" t="s">
        <v>911</v>
      </c>
      <c r="B56" s="244" t="s">
        <v>912</v>
      </c>
    </row>
    <row r="57" spans="1:2">
      <c r="A57" s="243" t="s">
        <v>913</v>
      </c>
      <c r="B57" s="244" t="s">
        <v>914</v>
      </c>
    </row>
    <row r="58" spans="1:2">
      <c r="A58" s="243" t="s">
        <v>915</v>
      </c>
      <c r="B58" s="244" t="s">
        <v>916</v>
      </c>
    </row>
    <row r="59" spans="1:2">
      <c r="A59" s="243" t="s">
        <v>917</v>
      </c>
      <c r="B59" s="244" t="s">
        <v>918</v>
      </c>
    </row>
    <row r="60" spans="1:2">
      <c r="A60" s="243" t="s">
        <v>919</v>
      </c>
      <c r="B60" s="244" t="s">
        <v>920</v>
      </c>
    </row>
    <row r="61" spans="1:2">
      <c r="A61" s="243" t="s">
        <v>921</v>
      </c>
      <c r="B61" s="244" t="s">
        <v>922</v>
      </c>
    </row>
    <row r="62" spans="1:2">
      <c r="A62" s="243" t="s">
        <v>923</v>
      </c>
      <c r="B62" s="244" t="s">
        <v>924</v>
      </c>
    </row>
    <row r="63" spans="1:2">
      <c r="A63" s="243" t="s">
        <v>925</v>
      </c>
      <c r="B63" s="244" t="s">
        <v>926</v>
      </c>
    </row>
    <row r="64" spans="1:2">
      <c r="A64" s="243" t="s">
        <v>927</v>
      </c>
      <c r="B64" s="244" t="s">
        <v>928</v>
      </c>
    </row>
    <row r="65" spans="1:2">
      <c r="A65" s="243" t="s">
        <v>929</v>
      </c>
      <c r="B65" s="244" t="s">
        <v>930</v>
      </c>
    </row>
    <row r="66" spans="1:2">
      <c r="A66" s="243" t="s">
        <v>931</v>
      </c>
      <c r="B66" s="244" t="s">
        <v>932</v>
      </c>
    </row>
    <row r="67" spans="1:2">
      <c r="A67" s="243" t="s">
        <v>933</v>
      </c>
      <c r="B67" s="244" t="s">
        <v>934</v>
      </c>
    </row>
    <row r="68" spans="1:2">
      <c r="A68" s="243" t="s">
        <v>935</v>
      </c>
      <c r="B68" s="244" t="s">
        <v>936</v>
      </c>
    </row>
    <row r="69" spans="1:2">
      <c r="A69" s="243" t="s">
        <v>937</v>
      </c>
      <c r="B69" s="244" t="s">
        <v>938</v>
      </c>
    </row>
    <row r="70" spans="1:2">
      <c r="A70" s="243" t="s">
        <v>939</v>
      </c>
      <c r="B70" s="244" t="s">
        <v>940</v>
      </c>
    </row>
    <row r="71" spans="1:2">
      <c r="A71" s="243" t="s">
        <v>941</v>
      </c>
      <c r="B71" s="244" t="s">
        <v>942</v>
      </c>
    </row>
    <row r="72" spans="1:2">
      <c r="A72" s="243" t="s">
        <v>943</v>
      </c>
      <c r="B72" s="244" t="s">
        <v>944</v>
      </c>
    </row>
    <row r="73" spans="1:2">
      <c r="A73" s="243" t="s">
        <v>945</v>
      </c>
      <c r="B73" s="244" t="s">
        <v>946</v>
      </c>
    </row>
    <row r="74" spans="1:2">
      <c r="A74" s="243" t="s">
        <v>947</v>
      </c>
      <c r="B74" s="244" t="s">
        <v>948</v>
      </c>
    </row>
    <row r="75" spans="1:2">
      <c r="A75" s="243" t="s">
        <v>949</v>
      </c>
      <c r="B75" s="244" t="s">
        <v>950</v>
      </c>
    </row>
    <row r="76" spans="1:2">
      <c r="A76" s="243" t="s">
        <v>951</v>
      </c>
      <c r="B76" s="244" t="s">
        <v>952</v>
      </c>
    </row>
    <row r="77" spans="1:2">
      <c r="A77" s="243" t="s">
        <v>953</v>
      </c>
      <c r="B77" s="244" t="s">
        <v>954</v>
      </c>
    </row>
    <row r="78" spans="1:2">
      <c r="A78" s="242" t="s">
        <v>144</v>
      </c>
      <c r="B78" s="245" t="s">
        <v>1266</v>
      </c>
    </row>
    <row r="79" spans="1:2">
      <c r="A79" s="243" t="s">
        <v>955</v>
      </c>
      <c r="B79" s="244" t="s">
        <v>956</v>
      </c>
    </row>
    <row r="80" spans="1:2">
      <c r="A80" s="243" t="s">
        <v>957</v>
      </c>
      <c r="B80" s="244" t="s">
        <v>958</v>
      </c>
    </row>
    <row r="81" spans="1:2">
      <c r="A81" s="243" t="s">
        <v>959</v>
      </c>
      <c r="B81" s="244" t="s">
        <v>960</v>
      </c>
    </row>
    <row r="82" spans="1:2">
      <c r="A82" s="243" t="s">
        <v>961</v>
      </c>
      <c r="B82" s="244" t="s">
        <v>962</v>
      </c>
    </row>
    <row r="83" spans="1:2">
      <c r="A83" s="243" t="s">
        <v>963</v>
      </c>
      <c r="B83" s="244" t="s">
        <v>964</v>
      </c>
    </row>
    <row r="84" spans="1:2">
      <c r="A84" s="243" t="s">
        <v>965</v>
      </c>
      <c r="B84" s="244" t="s">
        <v>966</v>
      </c>
    </row>
    <row r="85" spans="1:2">
      <c r="A85" s="243" t="s">
        <v>967</v>
      </c>
      <c r="B85" s="244" t="s">
        <v>968</v>
      </c>
    </row>
    <row r="86" spans="1:2">
      <c r="A86" s="243" t="s">
        <v>969</v>
      </c>
      <c r="B86" s="244" t="s">
        <v>970</v>
      </c>
    </row>
    <row r="87" spans="1:2">
      <c r="A87" s="242" t="s">
        <v>150</v>
      </c>
      <c r="B87" s="245" t="s">
        <v>1267</v>
      </c>
    </row>
    <row r="88" spans="1:2">
      <c r="A88" s="243" t="s">
        <v>971</v>
      </c>
      <c r="B88" s="244" t="s">
        <v>972</v>
      </c>
    </row>
    <row r="89" spans="1:2">
      <c r="A89" s="243" t="s">
        <v>973</v>
      </c>
      <c r="B89" s="244" t="s">
        <v>974</v>
      </c>
    </row>
    <row r="90" spans="1:2">
      <c r="A90" s="243" t="s">
        <v>975</v>
      </c>
      <c r="B90" s="244" t="s">
        <v>976</v>
      </c>
    </row>
    <row r="91" spans="1:2">
      <c r="A91" s="243" t="s">
        <v>977</v>
      </c>
      <c r="B91" s="244" t="s">
        <v>978</v>
      </c>
    </row>
    <row r="92" spans="1:2">
      <c r="A92" s="243" t="s">
        <v>979</v>
      </c>
      <c r="B92" s="244" t="s">
        <v>980</v>
      </c>
    </row>
    <row r="93" spans="1:2">
      <c r="A93" s="243" t="s">
        <v>981</v>
      </c>
      <c r="B93" s="244" t="s">
        <v>982</v>
      </c>
    </row>
    <row r="94" spans="1:2">
      <c r="A94" s="243" t="s">
        <v>983</v>
      </c>
      <c r="B94" s="244" t="s">
        <v>984</v>
      </c>
    </row>
    <row r="95" spans="1:2">
      <c r="A95" s="243" t="s">
        <v>985</v>
      </c>
      <c r="B95" s="244" t="s">
        <v>986</v>
      </c>
    </row>
    <row r="96" spans="1:2">
      <c r="A96" s="242" t="s">
        <v>152</v>
      </c>
      <c r="B96" s="245" t="s">
        <v>1268</v>
      </c>
    </row>
    <row r="97" spans="1:2">
      <c r="A97" s="243" t="s">
        <v>987</v>
      </c>
      <c r="B97" s="244" t="s">
        <v>988</v>
      </c>
    </row>
    <row r="98" spans="1:2">
      <c r="A98" s="243" t="s">
        <v>989</v>
      </c>
      <c r="B98" s="244" t="s">
        <v>990</v>
      </c>
    </row>
    <row r="99" spans="1:2">
      <c r="A99" s="243" t="s">
        <v>991</v>
      </c>
      <c r="B99" s="244" t="s">
        <v>992</v>
      </c>
    </row>
    <row r="100" spans="1:2">
      <c r="A100" s="242" t="s">
        <v>154</v>
      </c>
      <c r="B100" s="245" t="s">
        <v>1269</v>
      </c>
    </row>
    <row r="101" spans="1:2">
      <c r="A101" s="243" t="s">
        <v>993</v>
      </c>
      <c r="B101" s="244" t="s">
        <v>994</v>
      </c>
    </row>
    <row r="102" spans="1:2">
      <c r="A102" s="243" t="s">
        <v>995</v>
      </c>
      <c r="B102" s="244" t="s">
        <v>996</v>
      </c>
    </row>
    <row r="103" spans="1:2">
      <c r="A103" s="243" t="s">
        <v>997</v>
      </c>
      <c r="B103" s="244" t="s">
        <v>998</v>
      </c>
    </row>
    <row r="104" spans="1:2">
      <c r="A104" s="243" t="s">
        <v>999</v>
      </c>
      <c r="B104" s="244" t="s">
        <v>1000</v>
      </c>
    </row>
    <row r="105" spans="1:2">
      <c r="A105" s="243" t="s">
        <v>1001</v>
      </c>
      <c r="B105" s="244" t="s">
        <v>1002</v>
      </c>
    </row>
    <row r="106" spans="1:2">
      <c r="A106" s="243" t="s">
        <v>1003</v>
      </c>
      <c r="B106" s="244" t="s">
        <v>1004</v>
      </c>
    </row>
    <row r="107" spans="1:2">
      <c r="A107" s="243" t="s">
        <v>1005</v>
      </c>
      <c r="B107" s="244" t="s">
        <v>1006</v>
      </c>
    </row>
    <row r="108" spans="1:2">
      <c r="A108" s="243" t="s">
        <v>1007</v>
      </c>
      <c r="B108" s="244" t="s">
        <v>1008</v>
      </c>
    </row>
    <row r="109" spans="1:2">
      <c r="A109" s="243" t="s">
        <v>1009</v>
      </c>
      <c r="B109" s="244" t="s">
        <v>1010</v>
      </c>
    </row>
    <row r="110" spans="1:2">
      <c r="A110" s="243" t="s">
        <v>1011</v>
      </c>
      <c r="B110" s="244" t="s">
        <v>1012</v>
      </c>
    </row>
    <row r="111" spans="1:2">
      <c r="A111" s="243" t="s">
        <v>1013</v>
      </c>
      <c r="B111" s="244" t="s">
        <v>1014</v>
      </c>
    </row>
    <row r="112" spans="1:2" ht="22.5">
      <c r="A112" s="243" t="s">
        <v>1015</v>
      </c>
      <c r="B112" s="244" t="s">
        <v>1016</v>
      </c>
    </row>
    <row r="113" spans="1:2">
      <c r="A113" s="243" t="s">
        <v>1017</v>
      </c>
      <c r="B113" s="244" t="s">
        <v>1018</v>
      </c>
    </row>
    <row r="114" spans="1:2">
      <c r="A114" s="243" t="s">
        <v>1019</v>
      </c>
      <c r="B114" s="244" t="s">
        <v>1020</v>
      </c>
    </row>
    <row r="115" spans="1:2">
      <c r="A115" s="243" t="s">
        <v>1021</v>
      </c>
      <c r="B115" s="244" t="s">
        <v>1022</v>
      </c>
    </row>
    <row r="116" spans="1:2">
      <c r="A116" s="243" t="s">
        <v>1023</v>
      </c>
      <c r="B116" s="244" t="s">
        <v>1024</v>
      </c>
    </row>
    <row r="117" spans="1:2">
      <c r="A117" s="243" t="s">
        <v>1025</v>
      </c>
      <c r="B117" s="244" t="s">
        <v>1026</v>
      </c>
    </row>
    <row r="118" spans="1:2">
      <c r="A118" s="243" t="s">
        <v>1027</v>
      </c>
      <c r="B118" s="244" t="s">
        <v>1028</v>
      </c>
    </row>
    <row r="119" spans="1:2">
      <c r="A119" s="243" t="s">
        <v>1029</v>
      </c>
      <c r="B119" s="244" t="s">
        <v>1030</v>
      </c>
    </row>
    <row r="120" spans="1:2">
      <c r="A120" s="243" t="s">
        <v>1031</v>
      </c>
      <c r="B120" s="244" t="s">
        <v>1032</v>
      </c>
    </row>
    <row r="121" spans="1:2">
      <c r="A121" s="243" t="s">
        <v>1033</v>
      </c>
      <c r="B121" s="244" t="s">
        <v>1034</v>
      </c>
    </row>
    <row r="122" spans="1:2">
      <c r="A122" s="243" t="s">
        <v>1035</v>
      </c>
      <c r="B122" s="244" t="s">
        <v>1036</v>
      </c>
    </row>
    <row r="123" spans="1:2">
      <c r="A123" s="243" t="s">
        <v>1037</v>
      </c>
      <c r="B123" s="244" t="s">
        <v>1038</v>
      </c>
    </row>
    <row r="124" spans="1:2">
      <c r="A124" s="243" t="s">
        <v>1039</v>
      </c>
      <c r="B124" s="244" t="s">
        <v>1040</v>
      </c>
    </row>
    <row r="125" spans="1:2">
      <c r="A125" s="243" t="s">
        <v>1041</v>
      </c>
      <c r="B125" s="244" t="s">
        <v>1042</v>
      </c>
    </row>
    <row r="126" spans="1:2">
      <c r="A126" s="243" t="s">
        <v>1043</v>
      </c>
      <c r="B126" s="244" t="s">
        <v>1044</v>
      </c>
    </row>
    <row r="127" spans="1:2">
      <c r="A127" s="243" t="s">
        <v>1045</v>
      </c>
      <c r="B127" s="244" t="s">
        <v>1046</v>
      </c>
    </row>
    <row r="128" spans="1:2">
      <c r="A128" s="243" t="s">
        <v>1047</v>
      </c>
      <c r="B128" s="244" t="s">
        <v>1048</v>
      </c>
    </row>
    <row r="129" spans="1:2">
      <c r="A129" s="243" t="s">
        <v>1049</v>
      </c>
      <c r="B129" s="244" t="s">
        <v>1048</v>
      </c>
    </row>
    <row r="130" spans="1:2">
      <c r="A130" s="243" t="s">
        <v>1050</v>
      </c>
      <c r="B130" s="244" t="s">
        <v>1051</v>
      </c>
    </row>
    <row r="131" spans="1:2">
      <c r="A131" s="243" t="s">
        <v>1052</v>
      </c>
      <c r="B131" s="244" t="s">
        <v>1053</v>
      </c>
    </row>
    <row r="132" spans="1:2">
      <c r="A132" s="243" t="s">
        <v>1054</v>
      </c>
      <c r="B132" s="244" t="s">
        <v>1051</v>
      </c>
    </row>
    <row r="133" spans="1:2">
      <c r="A133" s="242" t="s">
        <v>158</v>
      </c>
      <c r="B133" s="245" t="s">
        <v>1270</v>
      </c>
    </row>
    <row r="134" spans="1:2">
      <c r="A134" s="243" t="s">
        <v>1055</v>
      </c>
      <c r="B134" s="244" t="s">
        <v>1056</v>
      </c>
    </row>
    <row r="135" spans="1:2">
      <c r="A135" s="243" t="s">
        <v>1057</v>
      </c>
      <c r="B135" s="244" t="s">
        <v>1058</v>
      </c>
    </row>
    <row r="136" spans="1:2">
      <c r="A136" s="243" t="s">
        <v>1059</v>
      </c>
      <c r="B136" s="244" t="s">
        <v>1060</v>
      </c>
    </row>
    <row r="137" spans="1:2">
      <c r="A137" s="243" t="s">
        <v>1061</v>
      </c>
      <c r="B137" s="244" t="s">
        <v>1062</v>
      </c>
    </row>
    <row r="138" spans="1:2">
      <c r="A138" s="243" t="s">
        <v>1063</v>
      </c>
      <c r="B138" s="244" t="s">
        <v>1064</v>
      </c>
    </row>
    <row r="139" spans="1:2">
      <c r="A139" s="243" t="s">
        <v>1065</v>
      </c>
      <c r="B139" s="244" t="s">
        <v>1066</v>
      </c>
    </row>
    <row r="140" spans="1:2">
      <c r="A140" s="243" t="s">
        <v>1067</v>
      </c>
      <c r="B140" s="244" t="s">
        <v>1068</v>
      </c>
    </row>
    <row r="141" spans="1:2">
      <c r="A141" s="243" t="s">
        <v>1069</v>
      </c>
      <c r="B141" s="244" t="s">
        <v>1070</v>
      </c>
    </row>
    <row r="142" spans="1:2">
      <c r="A142" s="243" t="s">
        <v>1071</v>
      </c>
      <c r="B142" s="244" t="s">
        <v>1072</v>
      </c>
    </row>
    <row r="143" spans="1:2">
      <c r="A143" s="243" t="s">
        <v>1073</v>
      </c>
      <c r="B143" s="244" t="s">
        <v>1074</v>
      </c>
    </row>
    <row r="144" spans="1:2">
      <c r="A144" s="243" t="s">
        <v>1075</v>
      </c>
      <c r="B144" s="244" t="s">
        <v>1076</v>
      </c>
    </row>
    <row r="145" spans="1:2">
      <c r="A145" s="243" t="s">
        <v>1077</v>
      </c>
      <c r="B145" s="244" t="s">
        <v>1078</v>
      </c>
    </row>
    <row r="146" spans="1:2">
      <c r="A146" s="243" t="s">
        <v>1079</v>
      </c>
      <c r="B146" s="244" t="s">
        <v>1080</v>
      </c>
    </row>
    <row r="147" spans="1:2">
      <c r="A147" s="243" t="s">
        <v>1081</v>
      </c>
      <c r="B147" s="244" t="s">
        <v>1082</v>
      </c>
    </row>
    <row r="148" spans="1:2">
      <c r="A148" s="243" t="s">
        <v>1083</v>
      </c>
      <c r="B148" s="244" t="s">
        <v>1084</v>
      </c>
    </row>
    <row r="149" spans="1:2">
      <c r="A149" s="243" t="s">
        <v>1085</v>
      </c>
      <c r="B149" s="244" t="s">
        <v>1086</v>
      </c>
    </row>
    <row r="150" spans="1:2">
      <c r="A150" s="243" t="s">
        <v>1087</v>
      </c>
      <c r="B150" s="244" t="s">
        <v>1088</v>
      </c>
    </row>
    <row r="151" spans="1:2">
      <c r="A151" s="243" t="s">
        <v>1089</v>
      </c>
      <c r="B151" s="244" t="s">
        <v>1090</v>
      </c>
    </row>
    <row r="152" spans="1:2">
      <c r="A152" s="243" t="s">
        <v>1091</v>
      </c>
      <c r="B152" s="244" t="s">
        <v>1092</v>
      </c>
    </row>
    <row r="153" spans="1:2">
      <c r="A153" s="243" t="s">
        <v>1093</v>
      </c>
      <c r="B153" s="244" t="s">
        <v>1094</v>
      </c>
    </row>
    <row r="154" spans="1:2">
      <c r="A154" s="243" t="s">
        <v>1095</v>
      </c>
      <c r="B154" s="244" t="s">
        <v>1096</v>
      </c>
    </row>
    <row r="155" spans="1:2">
      <c r="A155" s="243" t="s">
        <v>1097</v>
      </c>
      <c r="B155" s="244" t="s">
        <v>1098</v>
      </c>
    </row>
    <row r="156" spans="1:2">
      <c r="A156" s="243" t="s">
        <v>1099</v>
      </c>
      <c r="B156" s="244" t="s">
        <v>1100</v>
      </c>
    </row>
    <row r="157" spans="1:2">
      <c r="A157" s="243" t="s">
        <v>1101</v>
      </c>
      <c r="B157" s="244" t="s">
        <v>1102</v>
      </c>
    </row>
    <row r="158" spans="1:2">
      <c r="A158" s="243" t="s">
        <v>1103</v>
      </c>
      <c r="B158" s="244" t="s">
        <v>1104</v>
      </c>
    </row>
    <row r="159" spans="1:2">
      <c r="A159" s="243" t="s">
        <v>1105</v>
      </c>
      <c r="B159" s="244" t="s">
        <v>1106</v>
      </c>
    </row>
    <row r="160" spans="1:2">
      <c r="A160" s="243" t="s">
        <v>1107</v>
      </c>
      <c r="B160" s="244" t="s">
        <v>1108</v>
      </c>
    </row>
    <row r="161" spans="1:2">
      <c r="A161" s="243" t="s">
        <v>1109</v>
      </c>
      <c r="B161" s="244" t="s">
        <v>1110</v>
      </c>
    </row>
    <row r="162" spans="1:2">
      <c r="A162" s="243" t="s">
        <v>1111</v>
      </c>
      <c r="B162" s="244" t="s">
        <v>1112</v>
      </c>
    </row>
    <row r="163" spans="1:2">
      <c r="A163" s="243" t="s">
        <v>1113</v>
      </c>
      <c r="B163" s="244" t="s">
        <v>1114</v>
      </c>
    </row>
    <row r="164" spans="1:2">
      <c r="A164" s="243" t="s">
        <v>1115</v>
      </c>
      <c r="B164" s="244" t="s">
        <v>1116</v>
      </c>
    </row>
    <row r="165" spans="1:2">
      <c r="A165" s="243" t="s">
        <v>1117</v>
      </c>
      <c r="B165" s="244" t="s">
        <v>1118</v>
      </c>
    </row>
    <row r="166" spans="1:2">
      <c r="A166" s="243" t="s">
        <v>1119</v>
      </c>
      <c r="B166" s="244" t="s">
        <v>1120</v>
      </c>
    </row>
    <row r="167" spans="1:2">
      <c r="A167" s="243" t="s">
        <v>1121</v>
      </c>
      <c r="B167" s="244" t="s">
        <v>1122</v>
      </c>
    </row>
    <row r="168" spans="1:2">
      <c r="A168" s="243" t="s">
        <v>1123</v>
      </c>
      <c r="B168" s="244" t="s">
        <v>1124</v>
      </c>
    </row>
    <row r="169" spans="1:2">
      <c r="A169" s="243" t="s">
        <v>1125</v>
      </c>
      <c r="B169" s="244" t="s">
        <v>1126</v>
      </c>
    </row>
    <row r="170" spans="1:2">
      <c r="A170" s="243" t="s">
        <v>1127</v>
      </c>
      <c r="B170" s="244" t="s">
        <v>1128</v>
      </c>
    </row>
    <row r="171" spans="1:2">
      <c r="A171" s="243" t="s">
        <v>1129</v>
      </c>
      <c r="B171" s="244" t="s">
        <v>1130</v>
      </c>
    </row>
    <row r="172" spans="1:2">
      <c r="A172" s="243" t="s">
        <v>1131</v>
      </c>
      <c r="B172" s="244" t="s">
        <v>1132</v>
      </c>
    </row>
    <row r="173" spans="1:2">
      <c r="A173" s="243" t="s">
        <v>1133</v>
      </c>
      <c r="B173" s="244" t="s">
        <v>1134</v>
      </c>
    </row>
    <row r="174" spans="1:2">
      <c r="A174" s="243" t="s">
        <v>1135</v>
      </c>
      <c r="B174" s="244" t="s">
        <v>1136</v>
      </c>
    </row>
    <row r="175" spans="1:2">
      <c r="A175" s="243" t="s">
        <v>1137</v>
      </c>
      <c r="B175" s="244" t="s">
        <v>1138</v>
      </c>
    </row>
    <row r="176" spans="1:2">
      <c r="A176" s="243" t="s">
        <v>1139</v>
      </c>
      <c r="B176" s="244" t="s">
        <v>1140</v>
      </c>
    </row>
    <row r="177" spans="1:2">
      <c r="A177" s="243" t="s">
        <v>1141</v>
      </c>
      <c r="B177" s="244" t="s">
        <v>1142</v>
      </c>
    </row>
    <row r="178" spans="1:2">
      <c r="A178" s="243" t="s">
        <v>1143</v>
      </c>
      <c r="B178" s="244" t="s">
        <v>1144</v>
      </c>
    </row>
    <row r="179" spans="1:2">
      <c r="A179" s="243" t="s">
        <v>1145</v>
      </c>
      <c r="B179" s="244" t="s">
        <v>1146</v>
      </c>
    </row>
    <row r="180" spans="1:2">
      <c r="A180" s="243" t="s">
        <v>1147</v>
      </c>
      <c r="B180" s="244" t="s">
        <v>1148</v>
      </c>
    </row>
    <row r="181" spans="1:2">
      <c r="A181" s="243" t="s">
        <v>1149</v>
      </c>
      <c r="B181" s="244" t="s">
        <v>1150</v>
      </c>
    </row>
    <row r="182" spans="1:2">
      <c r="A182" s="243" t="s">
        <v>1151</v>
      </c>
      <c r="B182" s="244" t="s">
        <v>1152</v>
      </c>
    </row>
    <row r="183" spans="1:2">
      <c r="A183" s="243" t="s">
        <v>1153</v>
      </c>
      <c r="B183" s="244" t="s">
        <v>1154</v>
      </c>
    </row>
    <row r="184" spans="1:2">
      <c r="A184" s="243" t="s">
        <v>1155</v>
      </c>
      <c r="B184" s="244" t="s">
        <v>1156</v>
      </c>
    </row>
    <row r="185" spans="1:2">
      <c r="A185" s="243" t="s">
        <v>1157</v>
      </c>
      <c r="B185" s="244" t="s">
        <v>1158</v>
      </c>
    </row>
    <row r="186" spans="1:2">
      <c r="A186" s="243" t="s">
        <v>1159</v>
      </c>
      <c r="B186" s="244" t="s">
        <v>1160</v>
      </c>
    </row>
    <row r="187" spans="1:2">
      <c r="A187" s="243" t="s">
        <v>1161</v>
      </c>
      <c r="B187" s="244" t="s">
        <v>1162</v>
      </c>
    </row>
    <row r="188" spans="1:2">
      <c r="A188" s="242" t="s">
        <v>164</v>
      </c>
      <c r="B188" s="245" t="s">
        <v>1271</v>
      </c>
    </row>
    <row r="189" spans="1:2">
      <c r="A189" s="243" t="s">
        <v>1163</v>
      </c>
      <c r="B189" s="244" t="s">
        <v>1164</v>
      </c>
    </row>
    <row r="190" spans="1:2">
      <c r="A190" s="243" t="s">
        <v>1165</v>
      </c>
      <c r="B190" s="244" t="s">
        <v>1166</v>
      </c>
    </row>
    <row r="191" spans="1:2">
      <c r="A191" s="243" t="s">
        <v>1167</v>
      </c>
      <c r="B191" s="244" t="s">
        <v>1168</v>
      </c>
    </row>
    <row r="192" spans="1:2">
      <c r="A192" s="243" t="s">
        <v>1169</v>
      </c>
      <c r="B192" s="244" t="s">
        <v>1170</v>
      </c>
    </row>
    <row r="193" spans="1:2">
      <c r="A193" s="242" t="s">
        <v>286</v>
      </c>
      <c r="B193" s="245" t="s">
        <v>874</v>
      </c>
    </row>
    <row r="194" spans="1:2">
      <c r="A194" s="243" t="s">
        <v>1171</v>
      </c>
      <c r="B194" s="244" t="s">
        <v>369</v>
      </c>
    </row>
    <row r="195" spans="1:2">
      <c r="A195" s="243" t="s">
        <v>1172</v>
      </c>
      <c r="B195" s="244" t="s">
        <v>370</v>
      </c>
    </row>
    <row r="196" spans="1:2">
      <c r="A196" s="243" t="s">
        <v>1173</v>
      </c>
      <c r="B196" s="244" t="s">
        <v>1174</v>
      </c>
    </row>
    <row r="197" spans="1:2">
      <c r="A197" s="243" t="s">
        <v>1175</v>
      </c>
      <c r="B197" s="244" t="s">
        <v>1176</v>
      </c>
    </row>
    <row r="198" spans="1:2">
      <c r="A198" s="242" t="s">
        <v>875</v>
      </c>
      <c r="B198" s="245" t="s">
        <v>876</v>
      </c>
    </row>
    <row r="199" spans="1:2">
      <c r="A199" s="243" t="s">
        <v>1177</v>
      </c>
      <c r="B199" s="244" t="s">
        <v>1178</v>
      </c>
    </row>
    <row r="200" spans="1:2">
      <c r="A200" s="243" t="s">
        <v>1179</v>
      </c>
      <c r="B200" s="244" t="s">
        <v>1180</v>
      </c>
    </row>
    <row r="201" spans="1:2">
      <c r="A201" s="243" t="s">
        <v>1181</v>
      </c>
      <c r="B201" s="244" t="s">
        <v>1182</v>
      </c>
    </row>
    <row r="202" spans="1:2">
      <c r="A202" s="242" t="s">
        <v>877</v>
      </c>
      <c r="B202" s="245" t="s">
        <v>878</v>
      </c>
    </row>
    <row r="203" spans="1:2">
      <c r="A203" s="243" t="s">
        <v>1183</v>
      </c>
      <c r="B203" s="244" t="s">
        <v>1184</v>
      </c>
    </row>
    <row r="204" spans="1:2">
      <c r="A204" s="241" t="s">
        <v>704</v>
      </c>
      <c r="B204" s="246" t="s">
        <v>1284</v>
      </c>
    </row>
    <row r="205" spans="1:2">
      <c r="A205" s="242" t="s">
        <v>1282</v>
      </c>
      <c r="B205" s="245" t="s">
        <v>1283</v>
      </c>
    </row>
    <row r="206" spans="1:2">
      <c r="A206" s="242" t="s">
        <v>885</v>
      </c>
      <c r="B206" s="245" t="s">
        <v>1288</v>
      </c>
    </row>
    <row r="207" spans="1:2">
      <c r="A207" s="243" t="s">
        <v>1185</v>
      </c>
      <c r="B207" s="244" t="s">
        <v>1186</v>
      </c>
    </row>
    <row r="208" spans="1:2">
      <c r="A208" s="243" t="s">
        <v>1187</v>
      </c>
      <c r="B208" s="244" t="s">
        <v>1188</v>
      </c>
    </row>
    <row r="209" spans="1:2">
      <c r="A209" s="243" t="s">
        <v>1189</v>
      </c>
      <c r="B209" s="244" t="s">
        <v>1190</v>
      </c>
    </row>
    <row r="210" spans="1:2">
      <c r="A210" s="243" t="s">
        <v>1191</v>
      </c>
      <c r="B210" s="244" t="s">
        <v>1192</v>
      </c>
    </row>
    <row r="211" spans="1:2">
      <c r="A211" s="243" t="s">
        <v>1193</v>
      </c>
      <c r="B211" s="244" t="s">
        <v>1194</v>
      </c>
    </row>
    <row r="212" spans="1:2">
      <c r="A212" s="243" t="s">
        <v>1195</v>
      </c>
      <c r="B212" s="244" t="s">
        <v>1196</v>
      </c>
    </row>
    <row r="213" spans="1:2">
      <c r="A213" s="243" t="s">
        <v>1197</v>
      </c>
      <c r="B213" s="244" t="s">
        <v>1198</v>
      </c>
    </row>
    <row r="214" spans="1:2">
      <c r="A214" s="243" t="s">
        <v>1199</v>
      </c>
      <c r="B214" s="244" t="s">
        <v>1200</v>
      </c>
    </row>
    <row r="215" spans="1:2">
      <c r="A215" s="243" t="s">
        <v>1201</v>
      </c>
      <c r="B215" s="244" t="s">
        <v>1202</v>
      </c>
    </row>
    <row r="216" spans="1:2">
      <c r="A216" s="243" t="s">
        <v>1203</v>
      </c>
      <c r="B216" s="244" t="s">
        <v>1204</v>
      </c>
    </row>
    <row r="217" spans="1:2">
      <c r="A217" s="243" t="s">
        <v>1205</v>
      </c>
      <c r="B217" s="244" t="s">
        <v>1206</v>
      </c>
    </row>
    <row r="218" spans="1:2">
      <c r="A218" s="243" t="s">
        <v>1207</v>
      </c>
      <c r="B218" s="244" t="s">
        <v>1208</v>
      </c>
    </row>
    <row r="219" spans="1:2">
      <c r="A219" s="243" t="s">
        <v>1209</v>
      </c>
      <c r="B219" s="244" t="s">
        <v>1210</v>
      </c>
    </row>
    <row r="220" spans="1:2">
      <c r="A220" s="243" t="s">
        <v>1211</v>
      </c>
      <c r="B220" s="244" t="s">
        <v>1212</v>
      </c>
    </row>
    <row r="221" spans="1:2">
      <c r="A221" s="243" t="s">
        <v>1213</v>
      </c>
      <c r="B221" s="244" t="s">
        <v>1214</v>
      </c>
    </row>
    <row r="222" spans="1:2">
      <c r="A222" s="243" t="s">
        <v>1215</v>
      </c>
      <c r="B222" s="244" t="s">
        <v>1216</v>
      </c>
    </row>
    <row r="223" spans="1:2">
      <c r="A223" s="243" t="s">
        <v>1217</v>
      </c>
      <c r="B223" s="244" t="s">
        <v>1218</v>
      </c>
    </row>
    <row r="224" spans="1:2">
      <c r="A224" s="243" t="s">
        <v>1219</v>
      </c>
      <c r="B224" s="244" t="s">
        <v>1220</v>
      </c>
    </row>
    <row r="225" spans="1:2">
      <c r="A225" s="243" t="s">
        <v>1221</v>
      </c>
      <c r="B225" s="244" t="s">
        <v>1222</v>
      </c>
    </row>
    <row r="226" spans="1:2" ht="22.5">
      <c r="A226" s="243" t="s">
        <v>1223</v>
      </c>
      <c r="B226" s="244" t="s">
        <v>1224</v>
      </c>
    </row>
    <row r="227" spans="1:2">
      <c r="A227" s="243" t="s">
        <v>1225</v>
      </c>
      <c r="B227" s="244" t="s">
        <v>1226</v>
      </c>
    </row>
    <row r="228" spans="1:2">
      <c r="A228" s="243" t="s">
        <v>1227</v>
      </c>
      <c r="B228" s="244" t="s">
        <v>1228</v>
      </c>
    </row>
    <row r="229" spans="1:2">
      <c r="A229" s="243" t="s">
        <v>1229</v>
      </c>
      <c r="B229" s="244" t="s">
        <v>1230</v>
      </c>
    </row>
    <row r="230" spans="1:2">
      <c r="A230" s="243" t="s">
        <v>1231</v>
      </c>
      <c r="B230" s="244" t="s">
        <v>1232</v>
      </c>
    </row>
    <row r="231" spans="1:2">
      <c r="A231" s="243" t="s">
        <v>1233</v>
      </c>
      <c r="B231" s="244" t="s">
        <v>1234</v>
      </c>
    </row>
    <row r="232" spans="1:2">
      <c r="A232" s="243" t="s">
        <v>1235</v>
      </c>
      <c r="B232" s="244" t="s">
        <v>1236</v>
      </c>
    </row>
    <row r="233" spans="1:2">
      <c r="A233" s="243" t="s">
        <v>1237</v>
      </c>
      <c r="B233" s="244" t="s">
        <v>1238</v>
      </c>
    </row>
    <row r="234" spans="1:2">
      <c r="A234" s="243" t="s">
        <v>1239</v>
      </c>
      <c r="B234" s="244" t="s">
        <v>1240</v>
      </c>
    </row>
    <row r="235" spans="1:2">
      <c r="A235" s="243" t="s">
        <v>1241</v>
      </c>
      <c r="B235" s="244" t="s">
        <v>1242</v>
      </c>
    </row>
    <row r="236" spans="1:2">
      <c r="A236" s="243" t="s">
        <v>1243</v>
      </c>
      <c r="B236" s="244" t="s">
        <v>1244</v>
      </c>
    </row>
    <row r="237" spans="1:2">
      <c r="A237" s="243" t="s">
        <v>1245</v>
      </c>
      <c r="B237" s="244" t="s">
        <v>1246</v>
      </c>
    </row>
    <row r="238" spans="1:2">
      <c r="A238" s="243" t="s">
        <v>1247</v>
      </c>
      <c r="B238" s="244" t="s">
        <v>1248</v>
      </c>
    </row>
    <row r="239" spans="1:2">
      <c r="A239" s="243" t="s">
        <v>1249</v>
      </c>
      <c r="B239" s="244" t="s">
        <v>1250</v>
      </c>
    </row>
    <row r="240" spans="1:2">
      <c r="A240" s="243" t="s">
        <v>1251</v>
      </c>
      <c r="B240" s="244" t="s">
        <v>1252</v>
      </c>
    </row>
    <row r="241" spans="1:2">
      <c r="A241" s="242" t="s">
        <v>889</v>
      </c>
      <c r="B241" s="245" t="s">
        <v>874</v>
      </c>
    </row>
    <row r="242" spans="1:2">
      <c r="A242" s="243" t="s">
        <v>1253</v>
      </c>
      <c r="B242" s="244" t="s">
        <v>369</v>
      </c>
    </row>
    <row r="243" spans="1:2">
      <c r="A243" s="243" t="s">
        <v>1254</v>
      </c>
      <c r="B243" s="244" t="s">
        <v>370</v>
      </c>
    </row>
    <row r="244" spans="1:2">
      <c r="A244" s="243" t="s">
        <v>1255</v>
      </c>
      <c r="B244" s="244" t="s">
        <v>1256</v>
      </c>
    </row>
    <row r="245" spans="1:2">
      <c r="A245" s="243" t="s">
        <v>1257</v>
      </c>
      <c r="B245" s="244" t="s">
        <v>1174</v>
      </c>
    </row>
    <row r="246" spans="1:2" s="209" customFormat="1">
      <c r="A246" s="254" t="s">
        <v>1347</v>
      </c>
      <c r="B246" s="261" t="s">
        <v>1348</v>
      </c>
    </row>
    <row r="247" spans="1:2" s="209" customFormat="1">
      <c r="A247" s="256" t="s">
        <v>1349</v>
      </c>
      <c r="B247" s="260" t="s">
        <v>1350</v>
      </c>
    </row>
    <row r="248" spans="1:2" s="209" customFormat="1">
      <c r="A248" s="256" t="s">
        <v>1377</v>
      </c>
      <c r="B248" s="260" t="s">
        <v>1378</v>
      </c>
    </row>
    <row r="249" spans="1:2" s="209" customFormat="1">
      <c r="A249" s="258" t="s">
        <v>1614</v>
      </c>
      <c r="B249" s="259" t="s">
        <v>1615</v>
      </c>
    </row>
    <row r="250" spans="1:2" s="209" customFormat="1">
      <c r="A250" s="256" t="s">
        <v>1379</v>
      </c>
      <c r="B250" s="260" t="s">
        <v>1380</v>
      </c>
    </row>
    <row r="251" spans="1:2" s="209" customFormat="1">
      <c r="A251" s="258" t="s">
        <v>1616</v>
      </c>
      <c r="B251" s="259" t="s">
        <v>1617</v>
      </c>
    </row>
    <row r="252" spans="1:2" s="209" customFormat="1">
      <c r="A252" s="258" t="s">
        <v>1618</v>
      </c>
      <c r="B252" s="259" t="s">
        <v>1619</v>
      </c>
    </row>
    <row r="253" spans="1:2" s="209" customFormat="1">
      <c r="A253" s="254" t="s">
        <v>1387</v>
      </c>
      <c r="B253" s="261" t="s">
        <v>1388</v>
      </c>
    </row>
    <row r="254" spans="1:2" s="209" customFormat="1">
      <c r="A254" s="256" t="s">
        <v>1349</v>
      </c>
      <c r="B254" s="260" t="s">
        <v>1350</v>
      </c>
    </row>
    <row r="255" spans="1:2" s="209" customFormat="1">
      <c r="A255" s="256" t="s">
        <v>1397</v>
      </c>
      <c r="B255" s="260" t="s">
        <v>1398</v>
      </c>
    </row>
    <row r="256" spans="1:2" s="209" customFormat="1">
      <c r="A256" s="258" t="s">
        <v>1620</v>
      </c>
      <c r="B256" s="259" t="s">
        <v>1621</v>
      </c>
    </row>
    <row r="257" spans="1:2" s="209" customFormat="1">
      <c r="A257" s="258" t="s">
        <v>1622</v>
      </c>
      <c r="B257" s="259" t="s">
        <v>1623</v>
      </c>
    </row>
    <row r="258" spans="1:2" s="209" customFormat="1">
      <c r="A258" s="258" t="s">
        <v>1624</v>
      </c>
      <c r="B258" s="259" t="s">
        <v>1625</v>
      </c>
    </row>
    <row r="259" spans="1:2" s="209" customFormat="1">
      <c r="A259" s="254" t="s">
        <v>1518</v>
      </c>
      <c r="B259" s="261" t="s">
        <v>1519</v>
      </c>
    </row>
    <row r="260" spans="1:2" s="209" customFormat="1">
      <c r="A260" s="256" t="s">
        <v>1292</v>
      </c>
      <c r="B260" s="260" t="s">
        <v>1293</v>
      </c>
    </row>
    <row r="261" spans="1:2" s="209" customFormat="1">
      <c r="A261" s="256" t="s">
        <v>1548</v>
      </c>
      <c r="B261" s="260" t="s">
        <v>876</v>
      </c>
    </row>
    <row r="262" spans="1:2" s="209" customFormat="1">
      <c r="A262" s="258" t="s">
        <v>1626</v>
      </c>
      <c r="B262" s="259" t="s">
        <v>1627</v>
      </c>
    </row>
    <row r="263" spans="1:2" s="209" customFormat="1">
      <c r="A263" s="258" t="s">
        <v>1628</v>
      </c>
      <c r="B263" s="259" t="s">
        <v>1629</v>
      </c>
    </row>
    <row r="264" spans="1:2" s="209" customFormat="1">
      <c r="A264" s="258" t="s">
        <v>1630</v>
      </c>
      <c r="B264" s="259" t="s">
        <v>1631</v>
      </c>
    </row>
    <row r="265" spans="1:2" s="209" customFormat="1">
      <c r="A265" s="258" t="s">
        <v>1632</v>
      </c>
      <c r="B265" s="259" t="s">
        <v>1633</v>
      </c>
    </row>
    <row r="266" spans="1:2" s="209" customFormat="1">
      <c r="A266" s="258" t="s">
        <v>1634</v>
      </c>
      <c r="B266" s="259" t="s">
        <v>1635</v>
      </c>
    </row>
    <row r="267" spans="1:2" s="209" customFormat="1">
      <c r="A267" s="258" t="s">
        <v>1636</v>
      </c>
      <c r="B267" s="259" t="s">
        <v>1637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7</vt:i4>
      </vt:variant>
    </vt:vector>
  </HeadingPairs>
  <TitlesOfParts>
    <vt:vector size="16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Suzana Ulipi</cp:lastModifiedBy>
  <cp:lastPrinted>2019-12-04T08:50:47Z</cp:lastPrinted>
  <dcterms:created xsi:type="dcterms:W3CDTF">2018-09-10T07:36:17Z</dcterms:created>
  <dcterms:modified xsi:type="dcterms:W3CDTF">2019-12-30T10:24:30Z</dcterms:modified>
</cp:coreProperties>
</file>